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mp8\Desktop\"/>
    </mc:Choice>
  </mc:AlternateContent>
  <xr:revisionPtr revIDLastSave="0" documentId="8_{F5CBFC46-E1BE-458A-B17D-08D8E40BF3B4}" xr6:coauthVersionLast="45" xr6:coauthVersionMax="45" xr10:uidLastSave="{00000000-0000-0000-0000-000000000000}"/>
  <bookViews>
    <workbookView xWindow="-120" yWindow="-120" windowWidth="20730" windowHeight="11160" xr2:uid="{00000000-000D-0000-FFFF-FFFF00000000}"/>
  </bookViews>
  <sheets>
    <sheet name="Search By Installer" sheetId="14" r:id="rId1"/>
    <sheet name="Search by County" sheetId="19" r:id="rId2"/>
    <sheet name="Counties Served (2)" sheetId="21" state="hidden" r:id="rId3"/>
    <sheet name="Company Info (2)" sheetId="12" state="hidden" r:id="rId4"/>
    <sheet name="Company Info" sheetId="7" state="hidden" r:id="rId5"/>
    <sheet name="Counties Served" sheetId="6" state="hidden" r:id="rId6"/>
    <sheet name="CA Counties" sheetId="20" state="hidden" r:id="rId7"/>
    <sheet name="Languages Spoken" sheetId="10" state="hidden" r:id="rId8"/>
    <sheet name="Housing Type" sheetId="15" state="hidden" r:id="rId9"/>
    <sheet name="Building Type" sheetId="16" state="hidden" r:id="rId10"/>
    <sheet name="Resident Type" sheetId="17" state="hidden" r:id="rId11"/>
  </sheets>
  <externalReferences>
    <externalReference r:id="rId12"/>
  </externalReferences>
  <definedNames>
    <definedName name="_xlnm._FilterDatabase" localSheetId="3" hidden="1">'Company Info (2)'!$A$2:$B$2</definedName>
    <definedName name="_xlnm._FilterDatabase" localSheetId="1" hidden="1">'Search by County'!$B$7:$B$8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9" l="1"/>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322" i="21"/>
  <c r="B321" i="21"/>
  <c r="B320" i="21"/>
  <c r="B319" i="21"/>
  <c r="B318" i="21"/>
  <c r="B317" i="21"/>
  <c r="B316" i="21"/>
  <c r="B315" i="21"/>
  <c r="B314" i="21"/>
  <c r="B313" i="21"/>
  <c r="B312" i="21"/>
  <c r="B311" i="21"/>
  <c r="B310" i="21"/>
  <c r="B309" i="21"/>
  <c r="B308" i="21"/>
  <c r="B307" i="21"/>
  <c r="B306" i="21"/>
  <c r="B305" i="21"/>
  <c r="B304" i="21"/>
  <c r="B303" i="21"/>
  <c r="B302" i="21"/>
  <c r="B301" i="21"/>
  <c r="B300" i="21"/>
  <c r="B299" i="21"/>
  <c r="B298" i="21"/>
  <c r="B297" i="21"/>
  <c r="B296" i="21"/>
  <c r="B295" i="21"/>
  <c r="B294" i="21"/>
  <c r="B293" i="21"/>
  <c r="B292" i="21"/>
  <c r="B291" i="21"/>
  <c r="B290" i="21"/>
  <c r="B289" i="21"/>
  <c r="B288" i="21"/>
  <c r="B287" i="21"/>
  <c r="B286" i="21"/>
  <c r="B285" i="21"/>
  <c r="B284" i="21"/>
  <c r="B283" i="21"/>
  <c r="B282" i="21"/>
  <c r="B281" i="21"/>
  <c r="B280" i="21"/>
  <c r="B279" i="21"/>
  <c r="B278" i="21"/>
  <c r="B277" i="21"/>
  <c r="B276" i="21"/>
  <c r="B275" i="21"/>
  <c r="B274" i="21"/>
  <c r="B273" i="21"/>
  <c r="B272" i="21"/>
  <c r="B271" i="21"/>
  <c r="B270" i="21"/>
  <c r="B269" i="21"/>
  <c r="B268" i="21"/>
  <c r="B267" i="21"/>
  <c r="B266" i="21"/>
  <c r="B265" i="21"/>
  <c r="B264" i="21"/>
  <c r="B263" i="21"/>
  <c r="B262" i="21"/>
  <c r="B261" i="21"/>
  <c r="B260" i="21"/>
  <c r="B259" i="21"/>
  <c r="B258" i="21"/>
  <c r="B257" i="21"/>
  <c r="B256" i="21"/>
  <c r="B255" i="21"/>
  <c r="B254" i="21"/>
  <c r="B253" i="21"/>
  <c r="B252" i="21"/>
  <c r="B251" i="21"/>
  <c r="B250" i="21"/>
  <c r="B249" i="21"/>
  <c r="B248" i="21"/>
  <c r="B246" i="21"/>
  <c r="B247" i="21"/>
  <c r="B245" i="21"/>
  <c r="B244" i="21"/>
  <c r="B243" i="21"/>
  <c r="B242" i="2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0" i="21"/>
  <c r="B151"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0" i="21"/>
  <c r="B121"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74" i="21"/>
  <c r="B80" i="21"/>
  <c r="B85" i="21"/>
  <c r="B84" i="21"/>
  <c r="B83" i="21"/>
  <c r="B82" i="21"/>
  <c r="B81" i="21"/>
  <c r="B79" i="21"/>
  <c r="B78" i="21"/>
  <c r="B77" i="21"/>
  <c r="B76" i="21"/>
  <c r="B75" i="21"/>
  <c r="B73" i="21"/>
  <c r="B72" i="21"/>
  <c r="B71" i="21"/>
  <c r="B70" i="21"/>
  <c r="B69" i="21"/>
  <c r="B68" i="21"/>
  <c r="B67" i="21"/>
  <c r="B66" i="21"/>
  <c r="B65" i="21"/>
  <c r="B64" i="21"/>
  <c r="B6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3" i="21"/>
  <c r="B2" i="21"/>
  <c r="C10" i="19"/>
  <c r="C31" i="19"/>
  <c r="C30" i="19"/>
  <c r="C29" i="19"/>
  <c r="C28" i="19"/>
  <c r="C27" i="19"/>
  <c r="C26" i="19"/>
  <c r="C25" i="19"/>
  <c r="C24" i="19"/>
  <c r="B236" i="17"/>
  <c r="B7" i="17"/>
  <c r="B14" i="17"/>
  <c r="B247" i="17"/>
  <c r="B3" i="17"/>
  <c r="C23" i="19"/>
  <c r="B236" i="15"/>
  <c r="B7" i="15"/>
  <c r="B14" i="15"/>
  <c r="B247" i="15"/>
  <c r="B3" i="15"/>
  <c r="C22" i="19"/>
  <c r="B236" i="16"/>
  <c r="B7" i="16"/>
  <c r="B14" i="16"/>
  <c r="B247" i="16"/>
  <c r="B3" i="16"/>
  <c r="C21" i="19"/>
  <c r="C20" i="19"/>
  <c r="C19" i="19"/>
  <c r="C18" i="19"/>
  <c r="C17" i="19"/>
  <c r="C16" i="19"/>
  <c r="C15" i="19"/>
  <c r="C14" i="19"/>
  <c r="C13" i="19"/>
  <c r="C12" i="19"/>
  <c r="C28" i="14"/>
  <c r="C27" i="14"/>
  <c r="C26" i="14"/>
  <c r="C25" i="14"/>
  <c r="C24" i="14"/>
  <c r="C23" i="14"/>
  <c r="C22" i="14"/>
  <c r="C21" i="14"/>
  <c r="B138" i="17"/>
  <c r="B141" i="17"/>
  <c r="B4" i="17"/>
  <c r="B212" i="17"/>
  <c r="C20" i="14"/>
  <c r="B138" i="15"/>
  <c r="B141" i="15"/>
  <c r="B4" i="15"/>
  <c r="B212" i="15"/>
  <c r="C19" i="14"/>
  <c r="B138" i="16"/>
  <c r="B141" i="16"/>
  <c r="B4" i="16"/>
  <c r="B212" i="16"/>
  <c r="C18" i="14"/>
  <c r="C17" i="14"/>
  <c r="C16" i="14"/>
  <c r="C15" i="14"/>
  <c r="C14" i="14"/>
  <c r="C13" i="14"/>
  <c r="C12" i="14"/>
  <c r="C11" i="14"/>
  <c r="C10" i="14"/>
  <c r="C9" i="14"/>
  <c r="C8" i="14"/>
  <c r="C7" i="14"/>
  <c r="B5" i="17"/>
  <c r="B6" i="17"/>
  <c r="B8" i="17"/>
  <c r="B9" i="17"/>
  <c r="B10" i="17"/>
  <c r="B11" i="17"/>
  <c r="B12" i="17"/>
  <c r="B13"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9" i="17"/>
  <c r="B140"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7" i="17"/>
  <c r="B238" i="17"/>
  <c r="B239" i="17"/>
  <c r="B240" i="17"/>
  <c r="B241" i="17"/>
  <c r="B242" i="17"/>
  <c r="B243" i="17"/>
  <c r="B244" i="17"/>
  <c r="B245" i="17"/>
  <c r="B246" i="17"/>
  <c r="B248" i="17"/>
  <c r="B249" i="17"/>
  <c r="B250" i="17"/>
  <c r="B251" i="17"/>
  <c r="B252" i="17"/>
  <c r="B253" i="17"/>
  <c r="B254" i="17"/>
  <c r="B255" i="17"/>
  <c r="B256" i="17"/>
  <c r="B257" i="17"/>
  <c r="B258" i="17"/>
  <c r="B259" i="17"/>
  <c r="B260" i="17"/>
  <c r="B261" i="17"/>
  <c r="B262" i="17"/>
  <c r="B5" i="15"/>
  <c r="B6" i="15"/>
  <c r="B8" i="15"/>
  <c r="B9" i="15"/>
  <c r="B10" i="15"/>
  <c r="B11" i="15"/>
  <c r="B12" i="15"/>
  <c r="B13"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9" i="15"/>
  <c r="B140"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7" i="15"/>
  <c r="B238" i="15"/>
  <c r="B239" i="15"/>
  <c r="B240" i="15"/>
  <c r="B241" i="15"/>
  <c r="B242" i="15"/>
  <c r="B243" i="15"/>
  <c r="B244" i="15"/>
  <c r="B245" i="15"/>
  <c r="B246" i="15"/>
  <c r="B248" i="15"/>
  <c r="B249" i="15"/>
  <c r="B250" i="15"/>
  <c r="B251" i="15"/>
  <c r="B252" i="15"/>
  <c r="B253" i="15"/>
  <c r="B254" i="15"/>
  <c r="B255" i="15"/>
  <c r="B256" i="15"/>
  <c r="B257" i="15"/>
  <c r="B258" i="15"/>
  <c r="B259" i="15"/>
  <c r="B260" i="15"/>
  <c r="B261" i="15"/>
  <c r="B262" i="15"/>
  <c r="B9" i="16"/>
  <c r="B10" i="16"/>
  <c r="B11" i="16"/>
  <c r="B12" i="16"/>
  <c r="B13"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9" i="16"/>
  <c r="B140"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7" i="16"/>
  <c r="B238" i="16"/>
  <c r="B239" i="16"/>
  <c r="B240" i="16"/>
  <c r="B241" i="16"/>
  <c r="B242" i="16"/>
  <c r="B243" i="16"/>
  <c r="B244" i="16"/>
  <c r="B245" i="16"/>
  <c r="B246" i="16"/>
  <c r="B248" i="16"/>
  <c r="B249" i="16"/>
  <c r="B250" i="16"/>
  <c r="B251" i="16"/>
  <c r="B252" i="16"/>
  <c r="B253" i="16"/>
  <c r="B254" i="16"/>
  <c r="B255" i="16"/>
  <c r="B256" i="16"/>
  <c r="B257" i="16"/>
  <c r="B258" i="16"/>
  <c r="B259" i="16"/>
  <c r="B260" i="16"/>
  <c r="B261" i="16"/>
  <c r="B262" i="16"/>
  <c r="B8" i="16"/>
  <c r="B5" i="16"/>
  <c r="B6" i="16"/>
  <c r="C2" i="12" a="1"/>
  <c r="C2" i="12"/>
  <c r="B2" i="12"/>
  <c r="D2" i="12"/>
  <c r="E2" i="12"/>
  <c r="F2" i="12"/>
  <c r="G2" i="12"/>
  <c r="H2" i="12"/>
  <c r="I2" i="12"/>
  <c r="J2" i="12"/>
  <c r="K2" i="12"/>
  <c r="L2" i="12"/>
  <c r="M2" i="12"/>
  <c r="N2" i="12"/>
  <c r="O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Dyken, Dan</author>
  </authors>
  <commentList>
    <comment ref="B5" authorId="0" shapeId="0" xr:uid="{16895B15-58B6-4962-ADC8-B0FB1BD39428}">
      <text>
        <r>
          <rPr>
            <b/>
            <sz val="9"/>
            <color indexed="81"/>
            <rFont val="Tahoma"/>
            <family val="2"/>
          </rPr>
          <t>Use the Drop Down Arrow to Scroll through a List of Installers Familiar with the Self-Generation Inventive Program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 Dyken, Dan</author>
  </authors>
  <commentList>
    <comment ref="B5" authorId="0" shapeId="0" xr:uid="{031EB320-A0D4-442D-AEA5-54E9E32ED480}">
      <text>
        <r>
          <rPr>
            <b/>
            <sz val="9"/>
            <color indexed="81"/>
            <rFont val="Tahoma"/>
            <family val="2"/>
          </rPr>
          <t>Use the Drop Down Arrow to Select Your County</t>
        </r>
        <r>
          <rPr>
            <sz val="9"/>
            <color indexed="81"/>
            <rFont val="Tahoma"/>
            <family val="2"/>
          </rPr>
          <t xml:space="preserve">
</t>
        </r>
      </text>
    </comment>
    <comment ref="B8" authorId="0" shapeId="0" xr:uid="{4E011BF2-115A-4A40-9FAE-5A4C71132456}">
      <text>
        <r>
          <rPr>
            <b/>
            <sz val="9"/>
            <color indexed="81"/>
            <rFont val="Tahoma"/>
            <family val="2"/>
          </rPr>
          <t xml:space="preserve">Use the Drop Down Arrow to Scroll Through a List of Installers Serving Your County and are Familiar with the Self-Generation Incentive Program.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<sst xmlns="http://schemas.openxmlformats.org/spreadsheetml/2006/main" count="22244" uniqueCount="1434">
  <si>
    <t>Homeowners</t>
  </si>
  <si>
    <t>Renters</t>
  </si>
  <si>
    <t>Single-family homes</t>
  </si>
  <si>
    <t>Multifamily housing properties</t>
  </si>
  <si>
    <t>English Only</t>
  </si>
  <si>
    <t>Albanian</t>
  </si>
  <si>
    <t>American Sign Language</t>
  </si>
  <si>
    <t>Amharic</t>
  </si>
  <si>
    <t>Arabic</t>
  </si>
  <si>
    <t>Armenian</t>
  </si>
  <si>
    <t>Burmese</t>
  </si>
  <si>
    <t>Cambodian</t>
  </si>
  <si>
    <t>Cantonese</t>
  </si>
  <si>
    <t>Chaldean</t>
  </si>
  <si>
    <t>Dari</t>
  </si>
  <si>
    <t>Farsi</t>
  </si>
  <si>
    <t>French</t>
  </si>
  <si>
    <t>Greek</t>
  </si>
  <si>
    <t>Hindi</t>
  </si>
  <si>
    <t>Hmong</t>
  </si>
  <si>
    <t>Japanese</t>
  </si>
  <si>
    <t>Korean</t>
  </si>
  <si>
    <t>Lao</t>
  </si>
  <si>
    <t>Mandarin</t>
  </si>
  <si>
    <t>Pashto</t>
  </si>
  <si>
    <t>Portuguese</t>
  </si>
  <si>
    <t>Russian</t>
  </si>
  <si>
    <t>Somali</t>
  </si>
  <si>
    <t>Spanish</t>
  </si>
  <si>
    <t>Swahili</t>
  </si>
  <si>
    <t>Tagalog</t>
  </si>
  <si>
    <t>Ukrainian</t>
  </si>
  <si>
    <t>Urdu</t>
  </si>
  <si>
    <t>Vietnamese</t>
  </si>
  <si>
    <t>Yes</t>
  </si>
  <si>
    <t>Residential Customers</t>
  </si>
  <si>
    <t>No</t>
  </si>
  <si>
    <t>Hot Watts Technology</t>
  </si>
  <si>
    <t>www.hotwattstechnology.com</t>
  </si>
  <si>
    <t>info@hotwattstechnology.com</t>
  </si>
  <si>
    <t>PACE program loans</t>
  </si>
  <si>
    <t>Klein Power Electric</t>
  </si>
  <si>
    <t>kleinpowerelectric.com</t>
  </si>
  <si>
    <t>kklein@kleinpowerelectric.com</t>
  </si>
  <si>
    <t>Non-residential Customers</t>
  </si>
  <si>
    <t>Vivint Solar</t>
  </si>
  <si>
    <t>www.vivintsolar.com</t>
  </si>
  <si>
    <t>help@vivintsolar.com</t>
  </si>
  <si>
    <t>N/A</t>
  </si>
  <si>
    <t>Sustainable Energy Group</t>
  </si>
  <si>
    <t>www.seg.energy</t>
  </si>
  <si>
    <t>info@seg.energy</t>
  </si>
  <si>
    <t>Incentive Electric</t>
  </si>
  <si>
    <t>www.incentivesolar.com</t>
  </si>
  <si>
    <t>bbodde@incentivesolar.com</t>
  </si>
  <si>
    <t>We have a really open family feel to our company and we are comfortable with working with everyone.</t>
  </si>
  <si>
    <t>Sunon energy corporation</t>
  </si>
  <si>
    <t>Info@sunonenergy.com</t>
  </si>
  <si>
    <t>We have $0 down financing options available.</t>
  </si>
  <si>
    <t>We specialize in solar and battery options for homeowners and businesses.</t>
  </si>
  <si>
    <t>Centrica Business Solutions</t>
  </si>
  <si>
    <t>centricabusinesssolutions.com</t>
  </si>
  <si>
    <t>joseph.anderson@centrica.com</t>
  </si>
  <si>
    <t>Prior to any sale or service appointment our firm works with the customer to ensure their complete understanding of the services and products we offer and all the benefits and costs related to their concerns.</t>
  </si>
  <si>
    <t>Skytech Solar</t>
  </si>
  <si>
    <t>https://www.skytechsolar.com/</t>
  </si>
  <si>
    <t>info@skytechsolar.com</t>
  </si>
  <si>
    <t>Earth Electric Incorporated</t>
  </si>
  <si>
    <t>www.earth-electric.com</t>
  </si>
  <si>
    <t>info@earth-electric.com</t>
  </si>
  <si>
    <t>zoe@treepublic.com</t>
  </si>
  <si>
    <t>Advanced Alternative Energy Solutions</t>
  </si>
  <si>
    <t>www.aaes.biz</t>
  </si>
  <si>
    <t>info@aaes.biz</t>
  </si>
  <si>
    <t>We have and will provide site specific customer interface and training. Could start hosting general battery information training, seminars, webinars, etc.</t>
  </si>
  <si>
    <t>Keith Smith and Son Inc.</t>
  </si>
  <si>
    <t>art@servicelectric.net</t>
  </si>
  <si>
    <t>Sungenix Energy Solutions</t>
  </si>
  <si>
    <t>sungenix.com</t>
  </si>
  <si>
    <t>solar@sungenix.com</t>
  </si>
  <si>
    <t>Urban Energy Inc</t>
  </si>
  <si>
    <t>http://www.urbanenergysf.com/</t>
  </si>
  <si>
    <t>info@urbanenergysf.com</t>
  </si>
  <si>
    <t>Mack Electric/Gardner Energy</t>
  </si>
  <si>
    <t>gardnerenergy.com</t>
  </si>
  <si>
    <t>kevinm@gardner-energy.com</t>
  </si>
  <si>
    <t>We are very well versed i battery and generator back up systems to assist in times of potential disaster and also for times when the Utility companies may shut down power for extended periods of time.</t>
  </si>
  <si>
    <t>Ambrose Construction Inc</t>
  </si>
  <si>
    <t>www.ambrosesolar.com</t>
  </si>
  <si>
    <t>audrey@ambrosesolar.com</t>
  </si>
  <si>
    <t>We take all the webinars and training possible to stay on top of the CPUC and SGIP requirements.</t>
  </si>
  <si>
    <t>Slingshot Power</t>
  </si>
  <si>
    <t>Www.slingshotpower.com</t>
  </si>
  <si>
    <t>Will@slingshotpower.com</t>
  </si>
  <si>
    <t>We are able to defer the tax credit portion of installation.</t>
  </si>
  <si>
    <t>We are partnering with Sponsors in DACS for outreach to low income families.</t>
  </si>
  <si>
    <t>Solar Savings Direct</t>
  </si>
  <si>
    <t>www.solarsavingsdirect.com</t>
  </si>
  <si>
    <t>office@solarsavingsdirect.com</t>
  </si>
  <si>
    <t>GRID Alternatives</t>
  </si>
  <si>
    <t>https://gridalternatives.org/</t>
  </si>
  <si>
    <t>info@gridalternatives.org</t>
  </si>
  <si>
    <t>Stem, Inc.</t>
  </si>
  <si>
    <t>Stem.com</t>
  </si>
  <si>
    <t>support@stem.com</t>
  </si>
  <si>
    <t>Stem builds and operates the largest digitally connected energy storage network for our customers. Our world class AI platform optimizes the value of our customers' energy assets and facilitates their participation in energy markets, yielding economic and resiliency benefits while accelerating renewable adoption.</t>
  </si>
  <si>
    <t>Solar Optimum Inc</t>
  </si>
  <si>
    <t>www.solaroptimum.com</t>
  </si>
  <si>
    <t>sgip@solaroptimum.com</t>
  </si>
  <si>
    <t>Kuubix Energy, Inc.</t>
  </si>
  <si>
    <t>https://www.kuubixenergy.com/</t>
  </si>
  <si>
    <t>info@kuubix.com</t>
  </si>
  <si>
    <t>Zero down options through PPA's and Leases, PACE financing as well.</t>
  </si>
  <si>
    <t>Have been working with customers in PSPS zones, low income communities, and also wanting backup for rate arbitrage.</t>
  </si>
  <si>
    <t>Continuing with the SGIP requirements.</t>
  </si>
  <si>
    <t>Highlight Solar, Inc.</t>
  </si>
  <si>
    <t>www.highlightsolar.com</t>
  </si>
  <si>
    <t>malayleh@highlightsolar.com</t>
  </si>
  <si>
    <t>Symmetric Energy / Solar Winds Energy</t>
  </si>
  <si>
    <t>SymmetricEnergy.com</t>
  </si>
  <si>
    <t>david@SymmetricEnergy.com</t>
  </si>
  <si>
    <t>Motto "The more our customers know the easier the job" Happy to help all customers with monitoring and follow-up support service. Specialist in Community Resiliency Financing Models</t>
  </si>
  <si>
    <t>Altair Solar Inc</t>
  </si>
  <si>
    <t>www.altairsolar.com</t>
  </si>
  <si>
    <t>info@altairsolar.com</t>
  </si>
  <si>
    <t>Lets Get Solar</t>
  </si>
  <si>
    <t>LetsGetSolar.com</t>
  </si>
  <si>
    <t>eric@letsgetsolar.com</t>
  </si>
  <si>
    <t>Customer outreach for Equity and Equity Resiliency projects.</t>
  </si>
  <si>
    <t>Stellar Solar</t>
  </si>
  <si>
    <t>stellarsolar.net</t>
  </si>
  <si>
    <t>briang@stellarsolar.net</t>
  </si>
  <si>
    <t>We are currently offering to cover the first 6 months of payments for customers that finance their systems.</t>
  </si>
  <si>
    <t>We have been in business for over 20 years.</t>
  </si>
  <si>
    <t>Horizon Solar Power</t>
  </si>
  <si>
    <t>jonathan.yarnell@horizonsolarpower.com</t>
  </si>
  <si>
    <t>Modernize Construction</t>
  </si>
  <si>
    <t>modernizeconstruction.com</t>
  </si>
  <si>
    <t>jmcdonald@modernizeconstruction.com</t>
  </si>
  <si>
    <t>Sierra Energy Savers</t>
  </si>
  <si>
    <t>sierraenergysavers@gmail.com</t>
  </si>
  <si>
    <t>As an experienced local installer of energy storage systems I think the best education we can give to customers is the benefits and limitations of the ess. Benefits: ease of operation, no fuel needed, days of energy from the sun. Limitations: most likely will not power the whole house, can take up needed space, and has limited locations for installation.</t>
  </si>
  <si>
    <t>CMCO Electric &amp; Solar</t>
  </si>
  <si>
    <t>www.cmcoelectric.com</t>
  </si>
  <si>
    <t>cmcoelectric@gmail.com</t>
  </si>
  <si>
    <t>New Day Solar</t>
  </si>
  <si>
    <t>www.newdaysolar.com</t>
  </si>
  <si>
    <t>info@newdaysolar.com</t>
  </si>
  <si>
    <t>DEL SOL NRG, INC.</t>
  </si>
  <si>
    <t>www.delsolenergy.com</t>
  </si>
  <si>
    <t>info@delsolnrg.com</t>
  </si>
  <si>
    <t>We install solar and battery storage for residential, commercial, agriculture clients</t>
  </si>
  <si>
    <t>Del Sol Energy provides solar and battery user training and education for all clients</t>
  </si>
  <si>
    <t>Elliott Enterprises, Inc dba Sierra Roofing and Solar</t>
  </si>
  <si>
    <t>www.sierraroofing.com</t>
  </si>
  <si>
    <t>jeff@sierraroofing.com</t>
  </si>
  <si>
    <t>Palomar Solar and Roofing</t>
  </si>
  <si>
    <t>palomarsolar.com</t>
  </si>
  <si>
    <t>info@palomarsolar.com</t>
  </si>
  <si>
    <t>continue to educate the general public about the import aspects of going solar.</t>
  </si>
  <si>
    <t>SolarNorcal, LLC</t>
  </si>
  <si>
    <t>www.solarnorcal.com</t>
  </si>
  <si>
    <t>heath@solarnorcal.com</t>
  </si>
  <si>
    <t>Sunterra Solar Inc</t>
  </si>
  <si>
    <t>www.sunterrasolar.com</t>
  </si>
  <si>
    <t>info@sunterrasolar.com</t>
  </si>
  <si>
    <t>No residential. Commercial and Government only</t>
  </si>
  <si>
    <t>GTi Solar Construction</t>
  </si>
  <si>
    <t>www.gtisolar.com</t>
  </si>
  <si>
    <t>david@gtisolar.com</t>
  </si>
  <si>
    <t>We will take whatever necessary classes needed to service the needs of our customers.</t>
  </si>
  <si>
    <t>Sarter Construction &amp; Design, Inc / Off the Grid Design / Sol Lux Alpha</t>
  </si>
  <si>
    <t>www.solluxapha.com</t>
  </si>
  <si>
    <t>sarterfish@gmail.com</t>
  </si>
  <si>
    <t>We completed the work with our own crews. We are a certified Powerwall installer and have completed 100's of energy storage installations throughout CO and CA.</t>
  </si>
  <si>
    <t>V3 Electric Inc</t>
  </si>
  <si>
    <t>info@v3electric.com</t>
  </si>
  <si>
    <t>https://www.infinityenergy.com/</t>
  </si>
  <si>
    <t>customerservice@goinfinityenergy.com</t>
  </si>
  <si>
    <t>Infinium Solar, Inc.</t>
  </si>
  <si>
    <t>www.infiniumsolar.com</t>
  </si>
  <si>
    <t>jeff@infiniumsolar.com</t>
  </si>
  <si>
    <t>We have several financial institutes that we work with who offer lower income loans with little or no money down.</t>
  </si>
  <si>
    <t>SunStor</t>
  </si>
  <si>
    <t>SunStorSolar.com</t>
  </si>
  <si>
    <t>nathan@sunstorsolar.com</t>
  </si>
  <si>
    <t>$0 down low interest loans</t>
  </si>
  <si>
    <t>M. N. Mauzy mechanical Inc.</t>
  </si>
  <si>
    <t>www.mauzy.com</t>
  </si>
  <si>
    <t>info@mauzy.com</t>
  </si>
  <si>
    <t>Effect Energy, Inc</t>
  </si>
  <si>
    <t>www.effectenergy.org</t>
  </si>
  <si>
    <t>niko@effectenergy.org</t>
  </si>
  <si>
    <t>The financial assistance that we can offer varies case by case. It depends on the job size and how soon we could get the project funding.</t>
  </si>
  <si>
    <t>We take pride in the high quality of our installations. We have a great attention to details and our number one priority is our customers' satisfaction.</t>
  </si>
  <si>
    <t>SunPower Corporation</t>
  </si>
  <si>
    <t>https://us.sunpower.com/</t>
  </si>
  <si>
    <t>Christopher.Elias@sunpowercorp.com</t>
  </si>
  <si>
    <t>SunPower provides fully integrated solar and storage solutions with a single, industry-leading 25-year warranty. Our products are cutting edge in the industry with the highest efficiency solar panels and the only 420W residential panel. Our products can help customers go solar, even in roof or solar access constrained environments. SunPower also provides our customers with proactive monitoring and a personal web or phone app for them to monitor their equipment, receive alerts, and get updates on their carbon impact.</t>
  </si>
  <si>
    <t>Citadel Roofing &amp; Solar</t>
  </si>
  <si>
    <t>www.citadelrs.com</t>
  </si>
  <si>
    <t>sgip@citadelrs.com</t>
  </si>
  <si>
    <t>Bright Power</t>
  </si>
  <si>
    <t>www.brightpower.com</t>
  </si>
  <si>
    <t>info@brightpower.com</t>
  </si>
  <si>
    <t>Chico Electric</t>
  </si>
  <si>
    <t>https://www.chicoelectric.com/</t>
  </si>
  <si>
    <t>zmcmordie@chicoelectric.com</t>
  </si>
  <si>
    <t>ALIVE Industries, Inc.</t>
  </si>
  <si>
    <t>www.AliveSolar.com</t>
  </si>
  <si>
    <t>Adam@AliveIndustries.com</t>
  </si>
  <si>
    <t>Energy Innovative Solutions LLC</t>
  </si>
  <si>
    <t>energyinsol.com</t>
  </si>
  <si>
    <t>micth@energyinsol.com</t>
  </si>
  <si>
    <t>A1 Sun Inc.</t>
  </si>
  <si>
    <t>http://www.a1suninc.com/</t>
  </si>
  <si>
    <t>info@a1suninc.com</t>
  </si>
  <si>
    <t>CalCom Energy</t>
  </si>
  <si>
    <t>https://www.calcomenergy.com/</t>
  </si>
  <si>
    <t>sales@calcomenergy.com</t>
  </si>
  <si>
    <t>Huffman Solar</t>
  </si>
  <si>
    <t>www.huffmansolar.com</t>
  </si>
  <si>
    <t>wahuffman@gmail.com</t>
  </si>
  <si>
    <t>We are open to this, as the need arises.</t>
  </si>
  <si>
    <t>www.cicusa.com</t>
  </si>
  <si>
    <t>msnyder@cicusa.com</t>
  </si>
  <si>
    <t>vince@gtisolar.com</t>
  </si>
  <si>
    <t>SolarWinds Energy</t>
  </si>
  <si>
    <t>www.solarwinds-energy.com</t>
  </si>
  <si>
    <t>sales@solarwinds-energy.com</t>
  </si>
  <si>
    <t>Vector Green Power and Materials LLC</t>
  </si>
  <si>
    <t>vectorgpm.com</t>
  </si>
  <si>
    <t>pete@vectorgpm.com</t>
  </si>
  <si>
    <t>Have experience with systems for medical baseline customers in high wildfire threat areas, including areas devastated by the 2018 Carr wildfire.</t>
  </si>
  <si>
    <t>J&amp;J Electric DBA Vital Energy Solutions, LLC</t>
  </si>
  <si>
    <t>vitalenergysolar.com</t>
  </si>
  <si>
    <t>jjackson@vitalenergysolar.com</t>
  </si>
  <si>
    <t>Save a Lot Solar</t>
  </si>
  <si>
    <t>https://www.savealotsolar.com/</t>
  </si>
  <si>
    <t>jorfali@savealotsolar.com</t>
  </si>
  <si>
    <t>A-1 Contractors Inc. dba A-1 Electric</t>
  </si>
  <si>
    <t>Www.a1c.co</t>
  </si>
  <si>
    <t>Service@a-1contractors.co</t>
  </si>
  <si>
    <t>We always strive to educate our clients to the best of our ability</t>
  </si>
  <si>
    <t>Solar Symphony Construction Inc</t>
  </si>
  <si>
    <t>www.solarsymphony.com</t>
  </si>
  <si>
    <t>Ae@solarsymphony.com</t>
  </si>
  <si>
    <t>We can structure the financing for a zero upfront cost</t>
  </si>
  <si>
    <t>Customers with high reliability, 100% up time or with other critical energy resiliency specifications and customers who do not have access to the grid, are most well matched with grid tied battery solutions.</t>
  </si>
  <si>
    <t>An ethical and responsible sale requires that every customer be fully educated about the product it's costs and it's means of proper operation. Battery systems can be surprisingly complex so customer education is a critical part of the service and sale.</t>
  </si>
  <si>
    <t>Michael &amp; Sun Solar Inc</t>
  </si>
  <si>
    <t>www.michaelandsunsolar.com</t>
  </si>
  <si>
    <t>michael@michaelandsunsolar.com</t>
  </si>
  <si>
    <t>Freevolt</t>
  </si>
  <si>
    <t>freevolt.com</t>
  </si>
  <si>
    <t>freevolt.david@gmail.com</t>
  </si>
  <si>
    <t>No money down loans from preferred providers as well as PACE</t>
  </si>
  <si>
    <t>Videos and numerous company materials</t>
  </si>
  <si>
    <t>Earthwise Energy Solutions</t>
  </si>
  <si>
    <t>www.earthwise-energy.com</t>
  </si>
  <si>
    <t>jhamilton@earthwiseenergysolutions.com</t>
  </si>
  <si>
    <t>Got Watts Electric &amp; Solar</t>
  </si>
  <si>
    <t>https://www.gotwattselectric.com/</t>
  </si>
  <si>
    <t>info@gotwattselectric.com</t>
  </si>
  <si>
    <t>Option One Solar</t>
  </si>
  <si>
    <t>OptionOneSolar.com</t>
  </si>
  <si>
    <t>scott@optiononesolar.com</t>
  </si>
  <si>
    <t>Kota Construction</t>
  </si>
  <si>
    <t>kotaenergygroup.com</t>
  </si>
  <si>
    <t>kevin@kotaenergygroup.com</t>
  </si>
  <si>
    <t>We work with several lenders that offer battery financing with no upfront costs.</t>
  </si>
  <si>
    <t>We are a full service energy provider performing installations for solar, energy efficient HVAC systems, roofings, and of course home battery storage.</t>
  </si>
  <si>
    <t>Ilum Solar</t>
  </si>
  <si>
    <t>www.ilumsolar.com</t>
  </si>
  <si>
    <t>We are a certified battery installer with LG, Sonnen, Enphase, and Schneider.</t>
  </si>
  <si>
    <t>ForeFront Power</t>
  </si>
  <si>
    <t>https://www.forefrontpower.com/</t>
  </si>
  <si>
    <t>mktg@forefrontpower.com</t>
  </si>
  <si>
    <t>Renova Energy Corp</t>
  </si>
  <si>
    <t>energystorage@renovaenergy.com</t>
  </si>
  <si>
    <t>Energy Independence Group</t>
  </si>
  <si>
    <t>www.eigsolar.com</t>
  </si>
  <si>
    <t>support@eigsolar.com</t>
  </si>
  <si>
    <t>Programs for low income residences are available through PACE and our company will offer a 10 percent discount to all customers on CARE/FEMA.</t>
  </si>
  <si>
    <t>Energy Independence Group is an engineering, procurement and construction company with an engineering and electrical focus on energy projects. With energy efficiency, production, storage and management - anything including our mission of energy independence for all is possible.</t>
  </si>
  <si>
    <t>We operate an educational show called the Energy Independence Show that educates the consumer, members of the industry and students to facilitate energy development for all.</t>
  </si>
  <si>
    <t>Pac Solar Corporation</t>
  </si>
  <si>
    <t>www.pacsolar.com</t>
  </si>
  <si>
    <t>ERIC.MILLER@PACSOLAR.COM</t>
  </si>
  <si>
    <t>We offer turn-key design, engineering and installation of PV solar systems and energy storage systems.</t>
  </si>
  <si>
    <t>Scurfield Solar &amp; Heating</t>
  </si>
  <si>
    <t>daniel@scurfieldsolar.com</t>
  </si>
  <si>
    <t>As an educator, Ben Scurfield taught the Solar Hot Water course at College of the Redwoods from 2006 to 2014. He has also offered educational seminars and hands-on workshops related to energy efficiency, water efficiency, renewable energy and high performance heating systems. We offer these same educational opportunity to our clients.</t>
  </si>
  <si>
    <t>AWS Electrical &amp; Solar Inc.</t>
  </si>
  <si>
    <t>AWS-Solar.com</t>
  </si>
  <si>
    <t>info@awses.com</t>
  </si>
  <si>
    <t>Golden State Power</t>
  </si>
  <si>
    <t>Sun River Solar</t>
  </si>
  <si>
    <t>Www.sunriversolar.com</t>
  </si>
  <si>
    <t>rkooi@bearrivermtg.com</t>
  </si>
  <si>
    <t>We have loans for people with credit scores of 650 or above</t>
  </si>
  <si>
    <t>Voltage River</t>
  </si>
  <si>
    <t>Voltageriver.com</t>
  </si>
  <si>
    <t>andrew@voltageriver.com</t>
  </si>
  <si>
    <t>Cobalt Power Systems, Inc.</t>
  </si>
  <si>
    <t>cobaltpower.com</t>
  </si>
  <si>
    <t>tatianah@cobaltpower.com</t>
  </si>
  <si>
    <t>Golden Bear Solar, Inc.</t>
  </si>
  <si>
    <t>https://goldenbearsolar.com</t>
  </si>
  <si>
    <t>mike@goldenbearsolar.com</t>
  </si>
  <si>
    <t>Beyond energy storage systems, we also provide renewable energy for customers.</t>
  </si>
  <si>
    <t>Training for sales persons.</t>
  </si>
  <si>
    <t>Royal Aire Inc</t>
  </si>
  <si>
    <t>https://www.wecareroyalaire.com/</t>
  </si>
  <si>
    <t>jesse.royalaire@aol.com</t>
  </si>
  <si>
    <t>Westhaven Inc.</t>
  </si>
  <si>
    <t>westhavensolar.com</t>
  </si>
  <si>
    <t>vince@westhavensolar.com</t>
  </si>
  <si>
    <t>Solarcraft</t>
  </si>
  <si>
    <t>www.solarcraft.com</t>
  </si>
  <si>
    <t>sales@solarcraft.com</t>
  </si>
  <si>
    <t>DC Solar Electric, Inc</t>
  </si>
  <si>
    <t>amccarren@dcsolarelectric.com</t>
  </si>
  <si>
    <t>Future Energy Corporation</t>
  </si>
  <si>
    <t>www.energysavres.com</t>
  </si>
  <si>
    <t>info@energysavers.com</t>
  </si>
  <si>
    <t>Call for information</t>
  </si>
  <si>
    <t>FreeVolt USA INC</t>
  </si>
  <si>
    <t>www.freevolt.com</t>
  </si>
  <si>
    <t>freevoltusa@gmail.com</t>
  </si>
  <si>
    <t>Enable Energy, Inc.</t>
  </si>
  <si>
    <t>Enable-Energy.com</t>
  </si>
  <si>
    <t>info@enable-energy.com</t>
  </si>
  <si>
    <t>Starseed Electric</t>
  </si>
  <si>
    <t>www.starseedelectric.com</t>
  </si>
  <si>
    <t>pumajaguar78@gmail.com</t>
  </si>
  <si>
    <t>I enjoy helping people take care of their homes</t>
  </si>
  <si>
    <t>Sun Light &amp; Power</t>
  </si>
  <si>
    <t>www.sunlightandpower.com</t>
  </si>
  <si>
    <t>nsummers@sunlightandpower.com</t>
  </si>
  <si>
    <t>We are able to offer PPA or PPA PACE financing at no upfront costs.</t>
  </si>
  <si>
    <t>Revel Energy</t>
  </si>
  <si>
    <t>www.revel-energy.com</t>
  </si>
  <si>
    <t>information@revel-energy.com</t>
  </si>
  <si>
    <t>Xero Solar</t>
  </si>
  <si>
    <t>info@xerosolar.com</t>
  </si>
  <si>
    <t>sixriverssolar.com</t>
  </si>
  <si>
    <t>dj6rsolar@gmail.com</t>
  </si>
  <si>
    <t>We work with multiple banks and lenders to provide affordable financing for solar and storage projects for homeowners of all income levels. All of our lenders offer zero-down finance options to eliminate upfront costs for the customer.</t>
  </si>
  <si>
    <t>We are the leading solar company in Humboldt County, specializing in solar plus storage applications for residential and commercial customers. We offer many leading brands, and we also do all design work in-house. We service our own warranties and have been in business for over 40 years!</t>
  </si>
  <si>
    <t>We pride ourselves on educating the customer on their options before asking them to sign contracts. We offer free estimates and site visits, including advanced shade analysis and energy savings projections.</t>
  </si>
  <si>
    <t>Climatec</t>
  </si>
  <si>
    <t>Climatec.com</t>
  </si>
  <si>
    <t>TylerL@climatec.com</t>
  </si>
  <si>
    <t>REC Solar</t>
  </si>
  <si>
    <t>https://recsolar.com/</t>
  </si>
  <si>
    <t>mmeyer@recsolar.com</t>
  </si>
  <si>
    <t>Mei renewables Inc</t>
  </si>
  <si>
    <t>meirenewables.com</t>
  </si>
  <si>
    <t>sgip@meirenewables.com</t>
  </si>
  <si>
    <t>Baker Electric Home Energy</t>
  </si>
  <si>
    <t>www.bakerhomeenergy.com</t>
  </si>
  <si>
    <t>info@bakerhomeenergy.com</t>
  </si>
  <si>
    <t>North State Solar Energy Construction</t>
  </si>
  <si>
    <t>northstatesolarenergy.com</t>
  </si>
  <si>
    <t>We can provide low or zero interest financing for credit qualified customers and finance up to 100% of the cost of the project. We can offer system leasing with an option to purchase structured into the system. In most cases, customers would be responsible for little or no payment at the time of installation.</t>
  </si>
  <si>
    <t>Berger Solar Electric, LLC.</t>
  </si>
  <si>
    <t>Bergersolarelectric.com</t>
  </si>
  <si>
    <t>support@bergersolarelectric.com</t>
  </si>
  <si>
    <t>Full electrical contracting services, energy audits, generator and/or battery back-up systems, and solar PV for all.</t>
  </si>
  <si>
    <t>Sunstreet</t>
  </si>
  <si>
    <t>todd.farhat@sunstreet.com</t>
  </si>
  <si>
    <t>We offer PPA and Lease to new home buyers of new home construction. No low income</t>
  </si>
  <si>
    <t>We install solar PV on newly constructed homes</t>
  </si>
  <si>
    <t>CleanTech Energy Solutions Inc.</t>
  </si>
  <si>
    <t>www.go-cleantech.com</t>
  </si>
  <si>
    <t>welcome@go-cleantech.com</t>
  </si>
  <si>
    <t>Ameresco</t>
  </si>
  <si>
    <t>www.amerescosolar.com</t>
  </si>
  <si>
    <t>tdollase@ameresco.com</t>
  </si>
  <si>
    <t>We are constantly educating our customers about battery based solar electric power systems</t>
  </si>
  <si>
    <t>www.promiseenergy.com</t>
  </si>
  <si>
    <t>info@promiseenergy.com</t>
  </si>
  <si>
    <t>Aragon Electric</t>
  </si>
  <si>
    <t>None</t>
  </si>
  <si>
    <t>Solrev707@gmail.com</t>
  </si>
  <si>
    <t>Pace financing through Sonoma County Energy Independence Program SCEIP</t>
  </si>
  <si>
    <t>Full disclosure of rebate process, need for approva before work commences, full analysis of what expectations to have with the installed storage system.training on how to monitor their storage systems.</t>
  </si>
  <si>
    <t>CM Solar Electric</t>
  </si>
  <si>
    <t>www.cmsolarelectric.com</t>
  </si>
  <si>
    <t>carlos@cmsolarelectric.com</t>
  </si>
  <si>
    <t>EDF Renewables Distributed Solutions</t>
  </si>
  <si>
    <t>https://www.edf-re.com/distributed-solutions/</t>
  </si>
  <si>
    <t>Ethan.Klimist@edf-re.com</t>
  </si>
  <si>
    <t>San Diego County Solar</t>
  </si>
  <si>
    <t>sandiegocountysolar.com</t>
  </si>
  <si>
    <t>info@sandiegocountysolar.com</t>
  </si>
  <si>
    <t>Climate Solar Solution</t>
  </si>
  <si>
    <t>Www.climatesolarnow.com</t>
  </si>
  <si>
    <t>Patrick@climatesolarnow.com</t>
  </si>
  <si>
    <t>https://www.renovaenergy.com/</t>
  </si>
  <si>
    <t>Aztec Solar Inc.</t>
  </si>
  <si>
    <t>www.aztecsolar.com</t>
  </si>
  <si>
    <t>info@aztecsolar.com</t>
  </si>
  <si>
    <t>Aztec Solar is a full-service solar energy company that has been providing our customers with the most reliable solar technology, superior customer service and best value for over 40 years. Aztec specializes in solar electric, battery storage, solar water heating and solar pool heating.</t>
  </si>
  <si>
    <t>Sattler Solar Inc.</t>
  </si>
  <si>
    <t>www.sattlersolar.com</t>
  </si>
  <si>
    <t>erik@sattlersolar.com</t>
  </si>
  <si>
    <t>Synergy Solar &amp; Electrical Systems Inc</t>
  </si>
  <si>
    <t>synsolar.com</t>
  </si>
  <si>
    <t>office@synsolar.com</t>
  </si>
  <si>
    <t>We install the Sonnen Eco 10's and above and the Enphase Ensemble products only.</t>
  </si>
  <si>
    <t>We have been educating customers on storage systems for over 20 years.</t>
  </si>
  <si>
    <t>MEI Renewables, Inc.</t>
  </si>
  <si>
    <t>SGIP@meirenewables.com</t>
  </si>
  <si>
    <t>We are a full-service residential and commercial solar and solar + storage EPC.</t>
  </si>
  <si>
    <t>Our company prides itself on crafting quality renewable energy solutions to meet our customer's needs.</t>
  </si>
  <si>
    <t>Go Green Solar</t>
  </si>
  <si>
    <t>gogreensolar.com</t>
  </si>
  <si>
    <t>dave@gogreensolar.com</t>
  </si>
  <si>
    <t>Solarponics, Inc.</t>
  </si>
  <si>
    <t>www.solarponics.com</t>
  </si>
  <si>
    <t>kristian@solarponics.com</t>
  </si>
  <si>
    <t>Radiant Solar Technology</t>
  </si>
  <si>
    <t>www.radiantsolartech.com</t>
  </si>
  <si>
    <t>rst@mcn.org</t>
  </si>
  <si>
    <t>Radiant Solar Technology is always open to additional customer education; especially those provided by CLSB and PG&amp;E.</t>
  </si>
  <si>
    <t>Ameresco Solar</t>
  </si>
  <si>
    <t>Infinity Energy Inc</t>
  </si>
  <si>
    <t>mstacy@goinfinityenergy.com</t>
  </si>
  <si>
    <t>We have access to Sunnova and PACE as well as other loan options</t>
  </si>
  <si>
    <t>Nopec, Inc d/b/a Run on Sun</t>
  </si>
  <si>
    <t>https://runonsun.solar/</t>
  </si>
  <si>
    <t>info@runonsun.solar</t>
  </si>
  <si>
    <t>fairfax solar</t>
  </si>
  <si>
    <t>bertmbartsch@yahoo.com</t>
  </si>
  <si>
    <t>Taylor Energy Systems, Inc.</t>
  </si>
  <si>
    <t>www.taylor-energy.com</t>
  </si>
  <si>
    <t>info@taylor-energy.com</t>
  </si>
  <si>
    <t>Quality Home Services</t>
  </si>
  <si>
    <t>qualityhomeservices.com</t>
  </si>
  <si>
    <t>service@qualityhomeservices.com</t>
  </si>
  <si>
    <t>joe@qualityhomeservices.com</t>
  </si>
  <si>
    <t>We have multiple financing sources that do not require money up front.</t>
  </si>
  <si>
    <t>SunGreen Systems</t>
  </si>
  <si>
    <t>www.sungreensystems.com</t>
  </si>
  <si>
    <t>gary@sungreensystems.com</t>
  </si>
  <si>
    <t>SunGreen Systems offers all types of financing options to our customers. We can provide no deposit financing as well as long term or short term financing solutions.</t>
  </si>
  <si>
    <t>M Kahn Solar Inc. d/b/a Kahn Solar</t>
  </si>
  <si>
    <t>www.kahnsolar.com</t>
  </si>
  <si>
    <t>m.kahn@kahnsolar.com</t>
  </si>
  <si>
    <t>Clean Solar</t>
  </si>
  <si>
    <t>www.cleansolar.com</t>
  </si>
  <si>
    <t>info@cleansolar.com</t>
  </si>
  <si>
    <t>Solar Gain West LLC</t>
  </si>
  <si>
    <t>www.solargaininc.com</t>
  </si>
  <si>
    <t>info@solargaininc.com</t>
  </si>
  <si>
    <t>ca@sunrun.com</t>
  </si>
  <si>
    <t>Albion Power Company</t>
  </si>
  <si>
    <t>mary@albionpower.com</t>
  </si>
  <si>
    <t>Treeium Energy</t>
  </si>
  <si>
    <t>Nir.m@treeium.com</t>
  </si>
  <si>
    <t>Our company have multi financing options such as 1 year the same as the cash with 0% and not payment also we can carry over a lot of our hard cost for customers with no $ down until receiving our incentive check.</t>
  </si>
  <si>
    <t>California Solar Electric</t>
  </si>
  <si>
    <t>We offer low interest Solar/Battery loans with no down payments necessary.</t>
  </si>
  <si>
    <t>Sage Energy Consulting</t>
  </si>
  <si>
    <t>sagerenew.com</t>
  </si>
  <si>
    <t>bd@sagerenew.com</t>
  </si>
  <si>
    <t>Northern Pacific Power Systems</t>
  </si>
  <si>
    <t>County level PACE financing. Private loans. Assistance with SGIP financing.</t>
  </si>
  <si>
    <t>In depth energy assessments. Assistance with battery sizing and resilience / back-up calculations.</t>
  </si>
  <si>
    <t>B&amp;B Solar</t>
  </si>
  <si>
    <t>bnbsolar.com</t>
  </si>
  <si>
    <t>bgummsolar@gmail.com</t>
  </si>
  <si>
    <t>Alpha Energy Managment Inc.</t>
  </si>
  <si>
    <t>ken.stout@alphaenergyinc.com</t>
  </si>
  <si>
    <t>Solargraham</t>
  </si>
  <si>
    <t>www.solargraham.com</t>
  </si>
  <si>
    <t>gandmsolar@gmail.com</t>
  </si>
  <si>
    <t>mary@newdaysolar.com</t>
  </si>
  <si>
    <t>Westcoast Solar Energy</t>
  </si>
  <si>
    <t>www.westcoastsolarenergy.com</t>
  </si>
  <si>
    <t>info@westcoastsolarenergy.com</t>
  </si>
  <si>
    <t>brian@seg.energy</t>
  </si>
  <si>
    <t>Promise Energy Inc</t>
  </si>
  <si>
    <t>HES Solar</t>
  </si>
  <si>
    <t>rachael@hessolar.com</t>
  </si>
  <si>
    <t>Gold Rush Energy Solutions</t>
  </si>
  <si>
    <t>Goldrushenergy.com</t>
  </si>
  <si>
    <t>Info@goldrushenergy.com</t>
  </si>
  <si>
    <t>We provide homeowners with the Solar Consumer Grotection Guide, as well as many other resources provided to us by CALSSA to help our customers become educated about all their options and benefits of renewable energy.</t>
  </si>
  <si>
    <t>Sky Power Solar</t>
  </si>
  <si>
    <t>www.SkyPowerSolar.com</t>
  </si>
  <si>
    <t>info@skypowersolar.com</t>
  </si>
  <si>
    <t>Green Wolf Energy</t>
  </si>
  <si>
    <t>www.greenwolfenergy.net</t>
  </si>
  <si>
    <t>Greenwolfenergy2015@gmail.come</t>
  </si>
  <si>
    <t>California Solar Integrators, Inc.</t>
  </si>
  <si>
    <t>www.calsolarinc.com</t>
  </si>
  <si>
    <t>sean@caslolarinc.com</t>
  </si>
  <si>
    <t>We will be passing out and posting tenant notification fliers in many languages.</t>
  </si>
  <si>
    <t>Solar Pros Inc.</t>
  </si>
  <si>
    <t>solarprosinc@yahoo.com</t>
  </si>
  <si>
    <t>We have zero down financing with several lenders and also have Pace programs.</t>
  </si>
  <si>
    <t>I am a registered Cherokee and have done work on almost every reservation in the state and plan on marketing that sector.</t>
  </si>
  <si>
    <t>California Solar Electric Cooperative</t>
  </si>
  <si>
    <t>https://californiasolarco.com/</t>
  </si>
  <si>
    <t>sales@cal-solar.com</t>
  </si>
  <si>
    <t>We can offer folks who have 650+ FICO and less than 50% DTI 6 month to 10 year loans. We ask that customers pay a $1,000 cash deposit to start the application process.</t>
  </si>
  <si>
    <t>We are an equal opportunity solar company. We treat everyone with the same care and respect regardless of income, ability, gender, or race.</t>
  </si>
  <si>
    <t>We are an education-based company. We set realistic expectations and only take on business with those that are comfortable with and excited about our energy solutions.</t>
  </si>
  <si>
    <t>www.aramsolar.com</t>
  </si>
  <si>
    <t>info@aramsolar.com</t>
  </si>
  <si>
    <t>Synergy Power</t>
  </si>
  <si>
    <t>www.SynergyPower.com</t>
  </si>
  <si>
    <t>Hello@SynergyPower.com</t>
  </si>
  <si>
    <t>For single family homes we offer PACE financing.</t>
  </si>
  <si>
    <t>We have installers with Off Grid and hybrid backup systems with over 15 years experience. We can do 3 phase commercial or small residential backup storage systems. We offer a variety of manufacturers to meet the customers price point and energy needs.</t>
  </si>
  <si>
    <t>We can provide basic system use education. Most systems require little maintenance and we also over additional service contracts for those that need on site maintenance.</t>
  </si>
  <si>
    <t>Go Microgrid</t>
  </si>
  <si>
    <t>gomicrogrid.com</t>
  </si>
  <si>
    <t>aaron@gomicrogrid.com</t>
  </si>
  <si>
    <t>We want to educate people on how they get electricity, how the grid is becoming less reliable, and the options with solar and batteries they have.</t>
  </si>
  <si>
    <t>Sunnova Energy</t>
  </si>
  <si>
    <t>https://www.sunnova.com/</t>
  </si>
  <si>
    <t>customerservice@sunnova.com</t>
  </si>
  <si>
    <t>First Response Solar</t>
  </si>
  <si>
    <t>www.firstresponsesolar.com</t>
  </si>
  <si>
    <t>info@firstresponsesolar.com</t>
  </si>
  <si>
    <t>Cool Earth Solar</t>
  </si>
  <si>
    <t>coolearthsolar.com</t>
  </si>
  <si>
    <t>info@coolearthsolar.com</t>
  </si>
  <si>
    <t>Enel X North America</t>
  </si>
  <si>
    <t>SGIP@enel.com</t>
  </si>
  <si>
    <t>Enel X is able to offer fully-financed solutions with low or no upfront cost to low-income customers.</t>
  </si>
  <si>
    <t>NB Baker LTD (Baker Electric Home Energy)</t>
  </si>
  <si>
    <t>cgleed@bakerhomeenergy.com</t>
  </si>
  <si>
    <t>First American Solar</t>
  </si>
  <si>
    <t>www.FirstAmericanSolar.com</t>
  </si>
  <si>
    <t>info@firstamericansolar.com</t>
  </si>
  <si>
    <t>We have $0 Down financing available; however, certain qualifications apply.</t>
  </si>
  <si>
    <t>Quantum Solar Designs, Inc.</t>
  </si>
  <si>
    <t>www.QSD1.com</t>
  </si>
  <si>
    <t>cathy@qsd1.com</t>
  </si>
  <si>
    <t>Sustainable Technologies</t>
  </si>
  <si>
    <t>info@sustainabletech.cc</t>
  </si>
  <si>
    <t>oxypower.com</t>
  </si>
  <si>
    <t>greg@oxypower.com</t>
  </si>
  <si>
    <t>helene@oxypower.com</t>
  </si>
  <si>
    <t>Bright Life Solar</t>
  </si>
  <si>
    <t>wakeupthesun.com</t>
  </si>
  <si>
    <t>matt@brightlifesolar.com</t>
  </si>
  <si>
    <t>We are a service oriented general contracting company that specializes in Solar PV and battery storage.</t>
  </si>
  <si>
    <t>Blalock Electric &amp; Solar Inc.</t>
  </si>
  <si>
    <t>https://blalock-electric.com/</t>
  </si>
  <si>
    <t>info@blalock-electric.com</t>
  </si>
  <si>
    <t>SonoMarin Solar &amp; Electric</t>
  </si>
  <si>
    <t>www.sonomarinsolar.com</t>
  </si>
  <si>
    <t>nick@sonomarinsolar.com</t>
  </si>
  <si>
    <t>PacificWest Energy Solutions, Inc.</t>
  </si>
  <si>
    <t>pacificwestinc.com</t>
  </si>
  <si>
    <t>info@pacificwestinc.com</t>
  </si>
  <si>
    <t>Simmitri, Inc</t>
  </si>
  <si>
    <t>www.simmitri.com</t>
  </si>
  <si>
    <t>info@simmitri.com</t>
  </si>
  <si>
    <t>Currently we are offering to pay 1 month of electric bills and then the first 2 months of the solar payment.</t>
  </si>
  <si>
    <t>We are a small, family owned business that prides ourselves on integrity and making that personal connection to our clients. SSD utilizes industry best practices and over a decade of experience to ensure the highest quality, lowest cost solar, battery, &amp; generator installations in the state.</t>
  </si>
  <si>
    <t>www.cosmicsolar.com</t>
  </si>
  <si>
    <t>info@cosmicsolar.com</t>
  </si>
  <si>
    <t>We service the local American Indian Reservations.</t>
  </si>
  <si>
    <t>www.brightensolarco.com</t>
  </si>
  <si>
    <t>hello@brightensolarco.com</t>
  </si>
  <si>
    <t>Sunline Energy</t>
  </si>
  <si>
    <t>https://www.sunlineenergy.com/</t>
  </si>
  <si>
    <t>inquiries@sunlineenergy.com</t>
  </si>
  <si>
    <t>westcoastsolar.com</t>
  </si>
  <si>
    <t>info@westcoastsolar.com</t>
  </si>
  <si>
    <t>www.sunpowerbyqhs.com</t>
  </si>
  <si>
    <t>info@qualityhomeservices.com</t>
  </si>
  <si>
    <t>www.gshomesca.com</t>
  </si>
  <si>
    <t>barry.d@gshomesca.com</t>
  </si>
  <si>
    <t>We are currently studying all that we can to be able to educate the customers.</t>
  </si>
  <si>
    <t>Stada Energy</t>
  </si>
  <si>
    <t>Stada-Energy.com</t>
  </si>
  <si>
    <t>Info@stada-Energy.com</t>
  </si>
  <si>
    <t>https://engieservices.us/</t>
  </si>
  <si>
    <t>info.esus@engie.com</t>
  </si>
  <si>
    <t>Our focus is public sector customers and those who qualify as Critical Faciliites under the non-residential equity resiliency and resiliency adder definitions to provide back-up or microgrid solutions to prevent outages during PSPS and or other outage events.</t>
  </si>
  <si>
    <t>www.rhainc.com</t>
  </si>
  <si>
    <t>rwichert@rhainc.com</t>
  </si>
  <si>
    <t>grant@solarsavingsdirect.com</t>
  </si>
  <si>
    <t>www.swellenergy.com</t>
  </si>
  <si>
    <t>support@swellenergy.com</t>
  </si>
  <si>
    <t>1stchoicedevelopment.com</t>
  </si>
  <si>
    <t>info@1stchoicesince1989.com</t>
  </si>
  <si>
    <t>LLUMETEC</t>
  </si>
  <si>
    <t>rschneider@psgbuild.com</t>
  </si>
  <si>
    <t>www.ilovemysolar.com</t>
  </si>
  <si>
    <t>info@ilovemysolar.com</t>
  </si>
  <si>
    <t>Ygrene Financing.</t>
  </si>
  <si>
    <t>GuastiSolar.Com</t>
  </si>
  <si>
    <t>Beverly@GuastiSolar.com</t>
  </si>
  <si>
    <t>www.m2multimedia.com</t>
  </si>
  <si>
    <t>daniel@m2multimedia.com</t>
  </si>
  <si>
    <t>We specialize in elderly homes (board and care homes) putting solar with battery backup for critical devices like oxygen machines.</t>
  </si>
  <si>
    <t>We would take classes on how to help customers in this sector.</t>
  </si>
  <si>
    <t>Sunpowerca.com</t>
  </si>
  <si>
    <t>info@hookedonsolar.com</t>
  </si>
  <si>
    <t>www.solarspectrom.com</t>
  </si>
  <si>
    <t>solarspectrom@gmail.com</t>
  </si>
  <si>
    <t>PACE</t>
  </si>
  <si>
    <t>www.xerosolar.com</t>
  </si>
  <si>
    <t>Xero Solar has significant experience installing solar and battery back up systems in fire risk areas.</t>
  </si>
  <si>
    <t>https://solareenergy.com/</t>
  </si>
  <si>
    <t>info@SolareEnergy.com</t>
  </si>
  <si>
    <t>Offer no cost/obligation detailed proposals that describe the system, benefits, costs and financing options.</t>
  </si>
  <si>
    <t>3fficient.com</t>
  </si>
  <si>
    <t>sales@3fficient.com</t>
  </si>
  <si>
    <t>https://solarcraft.com/</t>
  </si>
  <si>
    <t>Sonoma Clean Power - the CCA operating in Sonoma County has a program where they will pay the SGIP rebate early, and they get paid from SGIP later. There are limited funds in the program, and limited funds that can go through each installer, so will be a limited time offer.</t>
  </si>
  <si>
    <t>We have access to financing firms such as PACE lenders and renewable energy lenders.</t>
  </si>
  <si>
    <t>We provide full financial analysis of the economics (potential savings) and pros/cons of installing renewable energy systems including battery backup.</t>
  </si>
  <si>
    <t>www.acrsolar.com</t>
  </si>
  <si>
    <t>info@acrsolar.com</t>
  </si>
  <si>
    <t>WE do PACE programs and have no money down finance programs that may total less, and sometimes quite a bit less, than what they were paying the Utility.</t>
  </si>
  <si>
    <t>www.jagsolar.net</t>
  </si>
  <si>
    <t>ali@jagsolar.net</t>
  </si>
  <si>
    <t>I have installed several battery storage systems for self consumptions and backup.</t>
  </si>
  <si>
    <t>www.sempersolaris.com</t>
  </si>
  <si>
    <t>gosolar@sempersolaris.com</t>
  </si>
  <si>
    <t>Semper Solaris</t>
  </si>
  <si>
    <t>Semper Solaris specializes in solar, batteries, roofing and HVAC.</t>
  </si>
  <si>
    <t>Info@IES.solar</t>
  </si>
  <si>
    <t>www.treepublic.com</t>
  </si>
  <si>
    <t>services@treepublic.com</t>
  </si>
  <si>
    <t>www.4-yes.com</t>
  </si>
  <si>
    <t>1-save@4-yes.com</t>
  </si>
  <si>
    <t>https://electro-thermal.com</t>
  </si>
  <si>
    <t>electrothermal@roadrunner.com</t>
  </si>
  <si>
    <t>www.harrisonelectric.com</t>
  </si>
  <si>
    <t>service@harrisonelectric.com</t>
  </si>
  <si>
    <t>skellyelectric.com</t>
  </si>
  <si>
    <t>davew@skellyelectric.com</t>
  </si>
  <si>
    <t>info@hotpurpleenergy.com</t>
  </si>
  <si>
    <t>Specializing in custom energy storage solutions for back up power and rate savings.</t>
  </si>
  <si>
    <t>www.fresh-energy-systems.com</t>
  </si>
  <si>
    <t>dan@fresh-energy-systems.com</t>
  </si>
  <si>
    <t>Give/Explain CPUC and CSLB solar disclosure documents at initial meeting.</t>
  </si>
  <si>
    <t>sunworksusa.com</t>
  </si>
  <si>
    <t>info@sunworksusa.com</t>
  </si>
  <si>
    <t>We install solar and on-grid batteries.</t>
  </si>
  <si>
    <t>We are continuously working to better inform our customer base and teach them about solar and battery installations.</t>
  </si>
  <si>
    <t>https://calleee.com/</t>
  </si>
  <si>
    <t>Jeff@CALLeee.com</t>
  </si>
  <si>
    <t>EEE, Inc. will soon be offering a solar PV and energy storage training program to help the community learn how solar PV and energy storage can help fight climate change, provide distributed energy and provide power solutions in the event of emergencies and/or natural disasters.</t>
  </si>
  <si>
    <t>https://jamarpower.com</t>
  </si>
  <si>
    <t>phil@jamarpower.com</t>
  </si>
  <si>
    <t>www.nrgupgrade.com</t>
  </si>
  <si>
    <t>info@nrgupgrade.com</t>
  </si>
  <si>
    <t>We do roofing</t>
  </si>
  <si>
    <t>info@jamarpower.com</t>
  </si>
  <si>
    <t>www.altsyssolar.com/</t>
  </si>
  <si>
    <t>projects@altsyssolar.com</t>
  </si>
  <si>
    <t>llumetec.com</t>
  </si>
  <si>
    <t>https://v3electric.com/</t>
  </si>
  <si>
    <t>nem@v3electric.com</t>
  </si>
  <si>
    <t>info@thatsbyers.com</t>
  </si>
  <si>
    <t>Enerbank, Ygrene, Mosaic - no up front cost or low interest loans</t>
  </si>
  <si>
    <t>www.baker-electric.com</t>
  </si>
  <si>
    <t>kweinberg@baker-electric.com</t>
  </si>
  <si>
    <t>www.valleyunique.com</t>
  </si>
  <si>
    <t>andrea@valleyunique.com</t>
  </si>
  <si>
    <t>www.zeroea.com</t>
  </si>
  <si>
    <t>info@zeroea.com</t>
  </si>
  <si>
    <t>www.SierraPacificHome.com</t>
  </si>
  <si>
    <t>Team@SierraPacificHome.com</t>
  </si>
  <si>
    <t>Low income assistance financing or PACE financing through 3rd party financiers.</t>
  </si>
  <si>
    <t>Sierra Pacific already budgets and conducts regular outreach to the communities we serve through direct mail, email, radio and tv communications. With the additional assistance available to high fire risk communities, Sierra Pacific will dedicate budget to spread awareness of the program.</t>
  </si>
  <si>
    <t>utility@hotpurpleenergy.com</t>
  </si>
  <si>
    <t>www.sunisticsgroup.com</t>
  </si>
  <si>
    <t>jcaizley@sunisticsgroup.com</t>
  </si>
  <si>
    <t>Zero down payment loans, PACE loans.</t>
  </si>
  <si>
    <t>Sunistics educates its customers throughout our relationship, showing them the best options based on their energy usage and letting them know if our services are not right for them.</t>
  </si>
  <si>
    <t>www.mrcool4ac.com</t>
  </si>
  <si>
    <t>estimate@mrcool4ac.com</t>
  </si>
  <si>
    <t>We are plugged in to all PACE programs, Service Finance, Green Sky, and a bevy of local credit unions that offer really competitive rates to even low-credit-score applicants.</t>
  </si>
  <si>
    <t>50 years in business in the valley working with groups of all backgrounds and languages.</t>
  </si>
  <si>
    <t>LEDPowerSaver.com</t>
  </si>
  <si>
    <t>frank@ledpowersaver.com</t>
  </si>
  <si>
    <t>Thom@SunspotSolarandHVAC.com</t>
  </si>
  <si>
    <t>www.sandiegosolar.com</t>
  </si>
  <si>
    <t>dirk@sandiegosolar.com</t>
  </si>
  <si>
    <t>We offer financing through Clean Energy Credit Union, www.cleanenergycu.org for more information.</t>
  </si>
  <si>
    <t>We teach our customers about solar and storage so they are informed and can make good decisions on their solar purchase.</t>
  </si>
  <si>
    <t>www.sresolar.com</t>
  </si>
  <si>
    <t>info@sre.solar</t>
  </si>
  <si>
    <t>We can pay upfront for the cost of the turnkey systems and collect the rebates directly so the customers do not need to come up with that payment whatsoever.</t>
  </si>
  <si>
    <t>We are expert installers of Electric Vehicle Supply Equipment as well as solar.</t>
  </si>
  <si>
    <t>Consumer education is part of our day-to-day business.</t>
  </si>
  <si>
    <t>skrsolar.com</t>
  </si>
  <si>
    <t>kevin@skrsolar.com</t>
  </si>
  <si>
    <t>PACE funding, bank financing.</t>
  </si>
  <si>
    <t>More targeted educational materials on website designed to help "critical need" facilities understand options available.</t>
  </si>
  <si>
    <t>www.spreckenergy.com</t>
  </si>
  <si>
    <t>info@spreckenergy.com</t>
  </si>
  <si>
    <t>We participate in ongoing training and industry education seminars and classes to stay up to date with the most recent advances in technology and trends.</t>
  </si>
  <si>
    <t>https://www.la-solargroup.com/</t>
  </si>
  <si>
    <t>admin@lasolargroup.com</t>
  </si>
  <si>
    <t>We offer Financial assistance by about 10 different companies , as well as Lease/PPA options</t>
  </si>
  <si>
    <t>https://blueskyenergy.solar/</t>
  </si>
  <si>
    <t>g.rochlin@blue-sky-energy.com</t>
  </si>
  <si>
    <t>We will look into the offering financial instruments to assist in helping our client find the means to make these installations happen.</t>
  </si>
  <si>
    <t>www.energyoptions-wind.com</t>
  </si>
  <si>
    <t>bruce@energyoptions-wind.com</t>
  </si>
  <si>
    <t>Teach why energy storage is a good idea now and a great idea for the future.</t>
  </si>
  <si>
    <t>411@solarforward.com</t>
  </si>
  <si>
    <t>We have over twenty years experience in storage and battery back up solar systems</t>
  </si>
  <si>
    <t>Matt@mimeos.net</t>
  </si>
  <si>
    <t>We are striving to provide up to 100% financing to allow no up front cost.</t>
  </si>
  <si>
    <t>We are also solar power installers.</t>
  </si>
  <si>
    <t>www.strongholdengineering.com</t>
  </si>
  <si>
    <t>bb@teamsei.com</t>
  </si>
  <si>
    <t>www.xnergyusa.com</t>
  </si>
  <si>
    <t>Jason@xnergyusa.com</t>
  </si>
  <si>
    <t>www.pacificsuntech.com</t>
  </si>
  <si>
    <t>Sales@pacificsuntech.com</t>
  </si>
  <si>
    <t>Our lenders offer no money down financing with fixed interest loan terms ranging from 8 to 20 years.</t>
  </si>
  <si>
    <t>We provide turnkey renewable energy solutions to homeowners. Our services include: solar energy, battery storage for time-of-use, emergency battery backup, and whole home battery backup.</t>
  </si>
  <si>
    <t>We have a variety of financing programs available through third party lenders we work with.</t>
  </si>
  <si>
    <t>solargem.org</t>
  </si>
  <si>
    <t>joej@solargem.org</t>
  </si>
  <si>
    <t>We can offer a no money down loan with 12 - 20 year terms and interest rate at 2.99%</t>
  </si>
  <si>
    <t>will@sunstorsolar.com</t>
  </si>
  <si>
    <t>https://www.calstatedev.com</t>
  </si>
  <si>
    <t>www.aliveindustries.com</t>
  </si>
  <si>
    <t>sgip@aliveindustries.com</t>
  </si>
  <si>
    <t>We can offer several 100% financing options with no prepayment penalties. Customers would only be responsible for interest accrued before paying off the loan, and minimal loan fees (3% or less). This cost can be covered by incentives.</t>
  </si>
  <si>
    <t>ALIVE specializes in making solar and storage accessible to everyone. We provide ALL customers with the highest quality product and installation possible. We've been working with SGIP since 2014, and we were pioneers in residential, grid-connected energy storage and all varieties of solar installation.</t>
  </si>
  <si>
    <t>www.airsunsolar.com</t>
  </si>
  <si>
    <t>cwklint@earthlink.net</t>
  </si>
  <si>
    <t>Training on use of equipment.</t>
  </si>
  <si>
    <t>www.jonasenergy.com</t>
  </si>
  <si>
    <t>We have financing available through Wells Fargo, Synchrony, Green Sky, Enerbank and plans are chosen based on customers needs.</t>
  </si>
  <si>
    <t>Webinars and educational videos</t>
  </si>
  <si>
    <t>purepowersolutions.com</t>
  </si>
  <si>
    <t>sales@purepowersolutions.com</t>
  </si>
  <si>
    <t>https://perrybuiltconstruction.com/</t>
  </si>
  <si>
    <t>rogerdenault@gmail.com</t>
  </si>
  <si>
    <t>www.coronasolar.net</t>
  </si>
  <si>
    <t>info@coronasolar.net</t>
  </si>
  <si>
    <t>info@suntegritysolar.com</t>
  </si>
  <si>
    <t>www.economicenergysolutions.com</t>
  </si>
  <si>
    <t>greggn@economicenergysolutions.com</t>
  </si>
  <si>
    <t>www.apollohp.us</t>
  </si>
  <si>
    <t>we offer 100% financing with zero out of pocket options. We offer leases, ppa's and purchases through solar financing.</t>
  </si>
  <si>
    <t>http://www.homenes.com</t>
  </si>
  <si>
    <t>tesla@homenes.com</t>
  </si>
  <si>
    <t>Info@ecosolarusa.com</t>
  </si>
  <si>
    <t>Our niche is working with ethnic group like Vietnamese, Spanish, Korean. We are a Master Dealer for SunPower to provide US solar panel with 25 years warranty.</t>
  </si>
  <si>
    <t>www.nostalgicsgreen.com</t>
  </si>
  <si>
    <t>nosbid4u@gmail.com</t>
  </si>
  <si>
    <t>whole house approach to energy in the home or business. Lower your electrical usage before installing solar thru energy efficient fireplaces for heat , solar hot water for less gas usage, tubular skylines and LED lighting.</t>
  </si>
  <si>
    <t>www.homegrownenergysolutions.com</t>
  </si>
  <si>
    <t>Ben.Neuman@homegrownenergysolutions.com</t>
  </si>
  <si>
    <t>18 months same as cash financing</t>
  </si>
  <si>
    <t>ian@michaelandsunsolar.com</t>
  </si>
  <si>
    <t>https://photonbrothers.com/</t>
  </si>
  <si>
    <t>thuggett@sol-training.com</t>
  </si>
  <si>
    <t>Erika@capitalcitysolar.com</t>
  </si>
  <si>
    <t>We have a line of credit in place if volume got to large we would have to explore options</t>
  </si>
  <si>
    <t>pat@ambrosesolar.com</t>
  </si>
  <si>
    <t>We have many financing options. $0 down, credit scores down to 550, PACE equity loans with no credit score requirements, etc etc.</t>
  </si>
  <si>
    <t>www.calsunelectric.com</t>
  </si>
  <si>
    <t>calsunelectric@gmail.com</t>
  </si>
  <si>
    <t>SGIP Paperwork and requirements.</t>
  </si>
  <si>
    <t>hello@goldenstatepower.com</t>
  </si>
  <si>
    <t>http://www.wiredintothefuture.com</t>
  </si>
  <si>
    <t>info@wiredintothefuture.com</t>
  </si>
  <si>
    <t>www.brightfuturesolarenergy.com</t>
  </si>
  <si>
    <t>andy@bfse.co</t>
  </si>
  <si>
    <t>www.frescosolar.com</t>
  </si>
  <si>
    <t>sean@frescosolar.com</t>
  </si>
  <si>
    <t>We have over 12 years experience in mostly commercial and industrial photovoltaic systems. We also do residential but are not a consumer marketing company. We are a go to company for residential ground arrays as we have all of the equipment required to build these. In recent years most of our revenue has come from solar canopies (carports) but we have also done many Megawatts of industrial rooftops We design, build and interconnect all of our systems with our own employees.</t>
  </si>
  <si>
    <t>Info@USA-gce.com</t>
  </si>
  <si>
    <t>Any and all training need to be compliant.</t>
  </si>
  <si>
    <t>www.LaibachSolar.com</t>
  </si>
  <si>
    <t>info@laibachsolar.com</t>
  </si>
  <si>
    <t>Goldenstatepower.com</t>
  </si>
  <si>
    <t>gabe.gsp@gmail.com</t>
  </si>
  <si>
    <t>www.simplysolarsocal.com</t>
  </si>
  <si>
    <t>info@SimplySolarSoCal.com</t>
  </si>
  <si>
    <t>PACE financing through Hero/Renovate America</t>
  </si>
  <si>
    <t>www.aeternaenergy.com</t>
  </si>
  <si>
    <t>rharris@aeternaenergy.com</t>
  </si>
  <si>
    <t>www.sig.solar</t>
  </si>
  <si>
    <t>jkerr@sigsolarinstall.com</t>
  </si>
  <si>
    <t>Not sure</t>
  </si>
  <si>
    <t>www.nrgcleanpower.com</t>
  </si>
  <si>
    <t>pto@nrgcleanpower.com</t>
  </si>
  <si>
    <t>We offer low interest rate financing with no upfront cost and 20-25 year loan</t>
  </si>
  <si>
    <t>www.alxcable.com</t>
  </si>
  <si>
    <t>alxco@pacbell.net</t>
  </si>
  <si>
    <t>www.trinitypowerca.com</t>
  </si>
  <si>
    <t>jayson@trinitypowerca.com</t>
  </si>
  <si>
    <t>Customers are only responsible for the initial application fee. Everything else is covered by financing.</t>
  </si>
  <si>
    <t>ops@day1solar.com</t>
  </si>
  <si>
    <t>www.plugitinsolar.com</t>
  </si>
  <si>
    <t>info@plugitinsolar.com</t>
  </si>
  <si>
    <t>www.altadenasolar.com</t>
  </si>
  <si>
    <t>projects@altadenasolar.com</t>
  </si>
  <si>
    <t>6-year lease program with $1,000 deposit as down-payment. Monthly payment with 3% escalator for 6 years. Customer can buyout system at residual value at year 7th.</t>
  </si>
  <si>
    <t>We have experience working with many non-profit organizations in Pasadena CA area.</t>
  </si>
  <si>
    <t>www.belmont-energy.com</t>
  </si>
  <si>
    <t>joe@belmont-energy.com</t>
  </si>
  <si>
    <t>Belmont Energy provides solar and storage solutions for the residential and commercial market. Battery backup solutions can be a valuable addition to any home's electrical system. There are a variety of use cases for solar and storage systems. Customers who may have medical requirements that would be burdened by a loss of utility power can benefit greatly from knowing that they can meet their needs in that unfortunate situation. Belmont Energy has provided solar and storage systems for customers from all walks of life and values the personal and individual needs of all our clients.</t>
  </si>
  <si>
    <t>bluepwnp.com</t>
  </si>
  <si>
    <t>les@bluepwnp.com</t>
  </si>
  <si>
    <t>www.sunriversolar.com</t>
  </si>
  <si>
    <t>pkooi@sunriversolar.com</t>
  </si>
  <si>
    <t>yourenergysolutions.com</t>
  </si>
  <si>
    <t>info@yourenergysolutions.com</t>
  </si>
  <si>
    <t>www.thatsbyers.com</t>
  </si>
  <si>
    <t>Monthly battery storage and solar seminars are offered, both in person (not during SIP) and online.</t>
  </si>
  <si>
    <t>www.hessolar.com</t>
  </si>
  <si>
    <t>sales@hessolar.com</t>
  </si>
  <si>
    <t>Www.goldstatesolar.com</t>
  </si>
  <si>
    <t>Tim@gststesolar.com</t>
  </si>
  <si>
    <t>We have been installing solar since 2009. Golden State Solar has over 1000 satisfied customers and is rating 5 stars on Yelp. We specialize in battery back up systems with a wide variety of brands to choose from. We are authorized to sell and install LG, Enphase, Generac, Panasonic, along with Tesla.</t>
  </si>
  <si>
    <t>mark@haven-electric.com</t>
  </si>
  <si>
    <t>Battery Backup Solutions is our expertise. We can provide 24 hr 365 days of the year of reliable power.</t>
  </si>
  <si>
    <t>w3solar.com</t>
  </si>
  <si>
    <t>w3solar@gmail.com</t>
  </si>
  <si>
    <t>NexGenConstruction.com</t>
  </si>
  <si>
    <t>SolarTeam@NexGenConstruction.com</t>
  </si>
  <si>
    <t>NexGen Construction provides whole home battery backup, solar energy, EV charging stations, solar pool heat and other efficiency &amp; resiliency upgrades.</t>
  </si>
  <si>
    <t>pahern@solteksolar.com</t>
  </si>
  <si>
    <t>www.NeighborhoodACE.com</t>
  </si>
  <si>
    <t>Corporate@GotMyACE.com</t>
  </si>
  <si>
    <t>www.sustineoplanet.com</t>
  </si>
  <si>
    <t>jim.coleman@sustineoplanet.com</t>
  </si>
  <si>
    <t>www.solarmaintenancepros.com</t>
  </si>
  <si>
    <t>cindy@solarnegotiators.com</t>
  </si>
  <si>
    <t>We will learn whatever is needed to serve our customers.</t>
  </si>
  <si>
    <t>andrew@newdaysolar.com</t>
  </si>
  <si>
    <t>Active License</t>
  </si>
  <si>
    <t>License number</t>
  </si>
  <si>
    <t>Counties Served</t>
  </si>
  <si>
    <t>Company Name</t>
  </si>
  <si>
    <t>Company Website</t>
  </si>
  <si>
    <t>Company Email</t>
  </si>
  <si>
    <t>Cosmic Solar</t>
  </si>
  <si>
    <t>Brighten Solar Company</t>
  </si>
  <si>
    <t>GS Homes</t>
  </si>
  <si>
    <t>Engie Services US</t>
  </si>
  <si>
    <t>RHA</t>
  </si>
  <si>
    <t>West Coast Solar</t>
  </si>
  <si>
    <t>Swell Energy</t>
  </si>
  <si>
    <t>1st Choice Development</t>
  </si>
  <si>
    <t>I Love My Solar</t>
  </si>
  <si>
    <t>Guasti Solar</t>
  </si>
  <si>
    <t>M2 Multimedia</t>
  </si>
  <si>
    <t>Solar Spectrom</t>
  </si>
  <si>
    <t>Solare Energy</t>
  </si>
  <si>
    <t>3fficient</t>
  </si>
  <si>
    <t>Solar Craft</t>
  </si>
  <si>
    <t>Clean Factor Energy</t>
  </si>
  <si>
    <t>ACR Solar</t>
  </si>
  <si>
    <t>Jag Solar</t>
  </si>
  <si>
    <t>Innovative Energy Systems (IES)</t>
  </si>
  <si>
    <t>www.IES.solar</t>
  </si>
  <si>
    <t>Tree Public</t>
  </si>
  <si>
    <t>Your Energy Source (YES)</t>
  </si>
  <si>
    <t>Electro Thermal</t>
  </si>
  <si>
    <t>Harrison Electric and Solar</t>
  </si>
  <si>
    <t>Skelly Electric</t>
  </si>
  <si>
    <t>Hot Purple Energy</t>
  </si>
  <si>
    <t>Fresh Energy Systems</t>
  </si>
  <si>
    <t>Sunworks</t>
  </si>
  <si>
    <t>Elements of Earth and Energy</t>
  </si>
  <si>
    <t>Jamar Power Systems</t>
  </si>
  <si>
    <t>NGR Upgrade</t>
  </si>
  <si>
    <t>AltSys Solar Incorporated</t>
  </si>
  <si>
    <t>Byers</t>
  </si>
  <si>
    <t>Baker Electric</t>
  </si>
  <si>
    <t>Valley Unique Electric, Inc.</t>
  </si>
  <si>
    <t>Zero Energy Associates</t>
  </si>
  <si>
    <t>Sierra Pacific</t>
  </si>
  <si>
    <t>Sunistics Group</t>
  </si>
  <si>
    <t>Donald P. Dick Air Conditioning</t>
  </si>
  <si>
    <t>LED Power Saver</t>
  </si>
  <si>
    <t>San Diego Solar</t>
  </si>
  <si>
    <t>Solar Renewable Energy</t>
  </si>
  <si>
    <t>Green Water and Power</t>
  </si>
  <si>
    <t>SKR Solar</t>
  </si>
  <si>
    <t>Spreck Energy</t>
  </si>
  <si>
    <t>LA Solar Group</t>
  </si>
  <si>
    <t>Energy Options</t>
  </si>
  <si>
    <t>Solar Forward</t>
  </si>
  <si>
    <t>www.solarforward.com</t>
  </si>
  <si>
    <t>www.mimeos.net</t>
  </si>
  <si>
    <t>Mimeos</t>
  </si>
  <si>
    <t>Stronghold Engineering</t>
  </si>
  <si>
    <t>Xnergy</t>
  </si>
  <si>
    <t>Pacific Sun Technologies</t>
  </si>
  <si>
    <t>www.hotpurpleenergy.com</t>
  </si>
  <si>
    <t>Solar Gem</t>
  </si>
  <si>
    <t>Alive Solar and Roofing</t>
  </si>
  <si>
    <t>Airsun</t>
  </si>
  <si>
    <t>Jonas Energy Solutions</t>
  </si>
  <si>
    <t>Pure Power Solutions</t>
  </si>
  <si>
    <t>Perrybuilt Construction</t>
  </si>
  <si>
    <t>Corona Solar</t>
  </si>
  <si>
    <t>www.suntegritysolar.com</t>
  </si>
  <si>
    <t>Suntegrity Solar</t>
  </si>
  <si>
    <t>Economic Energy Solutions</t>
  </si>
  <si>
    <t>Apollo Home Performance</t>
  </si>
  <si>
    <t>Home Networks, Electric &amp; Solar, Inc.</t>
  </si>
  <si>
    <t>EcoSolar USA</t>
  </si>
  <si>
    <t>www.ecosolarusa.com</t>
  </si>
  <si>
    <t>Sun, Wind, and Fire Alternative Energy Solutions</t>
  </si>
  <si>
    <t>Home Grown Energy Solutions</t>
  </si>
  <si>
    <t>Photon Brothers</t>
  </si>
  <si>
    <t>Sol Training</t>
  </si>
  <si>
    <t>Capital City Solar</t>
  </si>
  <si>
    <t>www.capitalcitysolar.com</t>
  </si>
  <si>
    <t>Sun Power by Ambrose</t>
  </si>
  <si>
    <t>CalSun Electric and Solar Systems, Inc.</t>
  </si>
  <si>
    <t>Wired Into The Future, Inc.</t>
  </si>
  <si>
    <t>Bright Future Solar Energy</t>
  </si>
  <si>
    <t>Fresco Solar</t>
  </si>
  <si>
    <t>GC Electric Solar</t>
  </si>
  <si>
    <t>www.usa-gce.com</t>
  </si>
  <si>
    <t>Laibach Solar</t>
  </si>
  <si>
    <t>Simply Solar</t>
  </si>
  <si>
    <t>SIG Solar</t>
  </si>
  <si>
    <t>NRG Clean Power</t>
  </si>
  <si>
    <t>ALX Company, Inc.</t>
  </si>
  <si>
    <t>Trinity Power</t>
  </si>
  <si>
    <t>Day One Solar</t>
  </si>
  <si>
    <t>www.day1solar.com</t>
  </si>
  <si>
    <t>Plug It In Solar</t>
  </si>
  <si>
    <t>Altadena Energy and Solar</t>
  </si>
  <si>
    <t>Belmont Energy</t>
  </si>
  <si>
    <t>Blue Planet Water and Power Company</t>
  </si>
  <si>
    <t>Your Energy Solutions</t>
  </si>
  <si>
    <t>Golden State Solar</t>
  </si>
  <si>
    <t>Haven Electric</t>
  </si>
  <si>
    <t>W3Solar</t>
  </si>
  <si>
    <t>NextGen Construction</t>
  </si>
  <si>
    <t>https://solteksolar.com/</t>
  </si>
  <si>
    <t>SolTek Industries Inc.</t>
  </si>
  <si>
    <t>Neighborhood ACE</t>
  </si>
  <si>
    <t>Sustineo</t>
  </si>
  <si>
    <t>Solar Maintenance Pros</t>
  </si>
  <si>
    <t>x103</t>
  </si>
  <si>
    <t>Phone Extension / Alt No.</t>
  </si>
  <si>
    <t>x-213</t>
  </si>
  <si>
    <t>x-1 or x-2</t>
  </si>
  <si>
    <t>Company 
Phone</t>
  </si>
  <si>
    <t>Housing Type Served</t>
  </si>
  <si>
    <t>Customer Type Served</t>
  </si>
  <si>
    <t>Non-Residential Customers</t>
  </si>
  <si>
    <t>www.Sunonenergy.com</t>
  </si>
  <si>
    <t>Description of Upfront Financial Assistance</t>
  </si>
  <si>
    <t>Additional Detail About Services Offered By the Company</t>
  </si>
  <si>
    <t>Description of Additional Customer Education and Assistance</t>
  </si>
  <si>
    <t>Training</t>
  </si>
  <si>
    <r>
      <t>Se Habla Espa</t>
    </r>
    <r>
      <rPr>
        <sz val="11"/>
        <color theme="1"/>
        <rFont val="Calibri"/>
        <family val="2"/>
      </rPr>
      <t>ñ</t>
    </r>
    <r>
      <rPr>
        <sz val="11"/>
        <color theme="1"/>
        <rFont val="Calibri"/>
        <family val="2"/>
        <scheme val="minor"/>
      </rPr>
      <t>ol</t>
    </r>
  </si>
  <si>
    <t xml:space="preserve"> we do low-income apartments with rehabs</t>
  </si>
  <si>
    <t>Aeterna Energy has access to financial and credit companies that we cassist teh customer to obtain these funds to pay over time.</t>
  </si>
  <si>
    <t>We offer financing through several partners, however this financing is for property owners not renters. It is stard home improvement financing with or without down payment.</t>
  </si>
  <si>
    <t>We would use Dividend, Suge or Sunnova financing</t>
  </si>
  <si>
    <t>We offer both traditional financing through a credit uniond Pace financing through the Mpower program</t>
  </si>
  <si>
    <t>Solar loand lease. No upfront payment</t>
  </si>
  <si>
    <t>EDF Renewables offers Shared Savings and Leasing options so that Public and Private Entities cavoid upfront costs associated with Battery Installation. By leveraging its size and balance sheet to internally finance projects EDF has alot of flexibility in tailoring contracting structures to each businesses preferences. The ultimate structures will depend o businesses or public entities credit rating, load profiles, facility characteristics, among other factors.</t>
  </si>
  <si>
    <t>ForeFront’s established investment facilities feature market-leading capital costs and have been structured specifically for non-residential energy projects, including solar and energy storage. As the equity sponsor and long-term owner of these systems, we can offer the uralleled flexibility in technology and financing terms at no upfront cost to customers.</t>
  </si>
  <si>
    <t>We have working relationships with many financial institutions including Suge, Dividend, Service Finance, PACE products like, Califor First, HERO, etc.</t>
  </si>
  <si>
    <t>We can offer PACE loans, Sunlight, Loal</t>
  </si>
  <si>
    <t>We have many finance options with 0$ upfront liability. We are partnered with solar+ battery lenders such as loal, mosaic, and sunlight. We have terms ranging from 10-20 years.</t>
  </si>
  <si>
    <t>We can offer PACE financing to customers who are o limited income because of retirement, disability, or other reasons if they own their own residence. The PACE financing can cover as much as 100% of the installed cost.</t>
  </si>
  <si>
    <t>Sunce Energy Solutions, Inc is a SunPower residential and commercial dealer. Low income customers may be approved for a loan to purchase PV systems. The upfront financial liability is zero.</t>
  </si>
  <si>
    <t>We offer both Loand Lease financing for customers with FICO scores above 690. It is also be possible for us to pass incentive values to customers through our pricing upfront so that there is not a gap for customers who need to preserve cash.</t>
  </si>
  <si>
    <t>We only offer upfront assistance in collaboration with the Califor Low Income Weatherization Program.</t>
  </si>
  <si>
    <t>Pacific Rim ConstructioRAM SOLAR</t>
  </si>
  <si>
    <t>1st Choice Development is a 31 year business specializing in residential and commercial general constructiond solar works.</t>
  </si>
  <si>
    <t>A1 Sun is developing a supplemel user guide for all its Home Energy Storage customers.   The guide covers energy conservation, consumption of various electrical loads, solar recharging, and system details (such as how to switch from time-of-use to fully charge batteries if an outage is expected).    We also prepare a detailed 'backup longevity' analysis for each customer (beyond SGIP requirements), detailing how long their batteries are likely to provide power in different utility outage scenarios depending on weather, time of year, and consumption.   These are iddition to industry stard proposal and financial analysis materials.</t>
  </si>
  <si>
    <t>Providing ond off grid battery systems since 1984. Specializing in fire affected areas, high risk black out, well and septic applications.</t>
  </si>
  <si>
    <t>We have a long history in educating our customers regarding various programs such as SGIP and other available incentive programs. We seek out customers eligible for such incentives through our vast network of referral-only businesses, and constantly train our employees to respond to different needs and situations through active learning management system that is able to be quickly tailored to respond to changing needs and unique circumstances.</t>
  </si>
  <si>
    <t>Marin</t>
  </si>
  <si>
    <t>We have been present at many informational venues for under served communities of Parlier, Tulare, Selma, and many more. We have served as a source industry informationd stards for any who need guidance.</t>
  </si>
  <si>
    <t>Understanding the needs of these targeted groups ( ie: lower income, medically disadvaged , at fire risk ) require any firm to position &amp; enable their task force issisting the energy production, storage and efficiency objectives of these end users. The ability to contribute to renewable clean energy should be sees a great opportunity to participate in what would normally be a cost prohibitive endeavor.</t>
  </si>
  <si>
    <t>kevipollohp.us</t>
  </si>
  <si>
    <t>Our stard sales practices include educating homeowners on the benefits, financials and operations of Solar and Storage systems. Iddition, the products we install are monitored and can be easily accessed by cell phone or desktop applications. These tools give customers peace of mind that their system is ready and able to meet their energy needs in the event of an outage.</t>
  </si>
  <si>
    <t>Always free consultations and guidance oll matters pertaining to home and commercial energy systems.</t>
  </si>
  <si>
    <t>Engineer, Design, Install and Maiin Solar and Energy Storage Systems for residential, commercial and agricultural mainly on the Central Coast of Califor.</t>
  </si>
  <si>
    <t>califorsolarelectric.com</t>
  </si>
  <si>
    <t>tom@califorsolarelectric.com</t>
  </si>
  <si>
    <t>coct@cal-solar.com</t>
  </si>
  <si>
    <t>We are the largest solar/storage contractor serving the low-income multifamily housing market. We serve the entire state of Califor through 3 offices in Los Angeles, San Diego and Walnut Creek.</t>
  </si>
  <si>
    <t>coct@calstatedev.com</t>
  </si>
  <si>
    <t>www.cimon.energy</t>
  </si>
  <si>
    <t>info@cimon.energy</t>
  </si>
  <si>
    <t>www.cleactorenergy.com</t>
  </si>
  <si>
    <t>phil@cleactorenergy.com</t>
  </si>
  <si>
    <t>Climatec offers complete training and followup oll the systems we install.</t>
  </si>
  <si>
    <t>A large demographic of our customers live ireas with frequent PSPSs and/or fire hazard areas such as Portola Valley, Woodside, and Los Altos Hills.</t>
  </si>
  <si>
    <t>We plan to develop a presetion for both our website as well as in-person outreach.</t>
  </si>
  <si>
    <t>We focus on customer educationd support and will research and assist, including taking classes or webinars to come up to speed. This is a new area for us but definitely interested.</t>
  </si>
  <si>
    <t>We will be working closely with our product manufacturers and suppliers to be kept up to date ony changes to the programs that my affect customer net cost.</t>
  </si>
  <si>
    <t>https://www.enelx.com//en</t>
  </si>
  <si>
    <t>We continue to publish white papers and conduct webinars to educate customers across Califor.We are actively speaking with customer across the state about opportunities to take advage of all available incentives for energy storage.</t>
  </si>
  <si>
    <t>We work the customer to understand their critical loads, the duration of energy resiliency needed and their sustainability goal (if appreciable) to desig solution with technologies that meet their needs - while taking into account upfront cost, potential savings and financing options. We will spend time with the customer to ensure they understand all of these aspects.</t>
  </si>
  <si>
    <t>Our missiot First American Solar is to make the energy market more transparent and affordable for homeowners, business owners and governmel organizations. Today we provide solar panel systems manufactured to the highest stards of quality, durability and performance for prices more affordable than leading competitors. We strive to deliver cost savings without compromising the quality of our products and services to all our customers.</t>
  </si>
  <si>
    <t>From the first point of coct to finalizing the project; effective communication, integrity, efficiency and a simplified process is the cornerstone of our business. We seek to educate and inform our customers of WHY a solar energy system may be beneficial to them, HOW we plan to help, and WHAT the system comprises of including any and all details.</t>
  </si>
  <si>
    <t>Iddition to onsite solar and energy storage projects, we offer educational services for schools, colleges and other types customers. We also offer EV charging stations and microgrid services.</t>
  </si>
  <si>
    <t>FreeVolt is in discussions with Habitat for Humanity to utilize our panels for their projects as well as the Coachella Valley Housing Coalition. The solar mate has greatly impacted their ability to serve the community and we are working with them to find a solution.</t>
  </si>
  <si>
    <t>We understand knowledge is power and want to sit you downd explain exactly what you are buying. We want you to understand NEM metering and why going solar is the smart choice for our future. We will explaill the financing choices out there and guide you to what best suits your needs.</t>
  </si>
  <si>
    <t>www.greeterandpower.com</t>
  </si>
  <si>
    <t>danny@greeterandpower.com</t>
  </si>
  <si>
    <t>We are a Latino owned, solar focused business that has adapted energy storage to be apart of the services we offer to our clients. Our represetives are comfortable explaining the whole energy storage/solar process in both English as well as Spanish.</t>
  </si>
  <si>
    <t>Our represetive are equipped with the knowledge necessary to educate the customer about their systems. The customer will also receive a small guide as to how their system works so that it may guide them how to read their system.</t>
  </si>
  <si>
    <t>Tigri</t>
  </si>
  <si>
    <t>We have bee local Construction Company for over 25 years. We have a solid reputation in the community.</t>
  </si>
  <si>
    <t>HES Solar has over 19 years of energy storage experience. We have also beectively signing up for SGIP funds for both residential and commercial projects since the program first opened. We have specialized in off-grid applications and installed many grid tied systems.</t>
  </si>
  <si>
    <t>We are willing to take any type of additional customer educationd assistance our company plans to undertake.</t>
  </si>
  <si>
    <t>Coct@ilumsolar.com</t>
  </si>
  <si>
    <t>We have offices throughout Califor. We have installers that are certified with Tesla Powerwall, Generac Pwrcell, and LG Chem Resu batteries.</t>
  </si>
  <si>
    <t>We offer full service solar and battery backup system with no money downd payments lower than your electric bill.</t>
  </si>
  <si>
    <t>We contilly share training webinar and other informatiobout solar and battery backup system to our customers.</t>
  </si>
  <si>
    <t>toj@jonasenergy.com</t>
  </si>
  <si>
    <t>We plan to fully educate every member of our team oll battery incentive programs offered by the CPUC and the qualifications associated. This way we will be able to effectively educate our customers on the SGIP program.</t>
  </si>
  <si>
    <t>High value oesthetics puts us apart from competition.</t>
  </si>
  <si>
    <t>mblackngreett.net</t>
  </si>
  <si>
    <t>Our firm eges in providing energy management, energy conservationd monitoring process information for all clients. Our firm also advises clients and guides them through additional services they may need to integrate, including water systems designd pump management (with informationd referral only), HVAC system designd improvement (with referral to licensed providers), integration of energy efficiency systems, and integration of redunt independent energy and power resources, including single and three phase back-up generator systems.</t>
  </si>
  <si>
    <t>Www.northercificpower.com</t>
  </si>
  <si>
    <t>Sales@northercificpower.com</t>
  </si>
  <si>
    <t>Occidel Power Solar and Cogen</t>
  </si>
  <si>
    <t>We are able to work and install solar and batteries for back up and self generatiopplications ill sectors and for all types of customer with or without disabilities.</t>
  </si>
  <si>
    <t>We will educate our company and staff involved in order to fully understand and maiin the highest competence levels.</t>
  </si>
  <si>
    <t>We take great strides in educating our customers as to the functionality, benefits, operationd management of the solar and storage systems we install.</t>
  </si>
  <si>
    <t>We have a YouTube channel that helps homeowners educate themselves during their own time while they’re in the process of obtaining quotes and learning about the advages of owning a solar plus battery system.</t>
  </si>
  <si>
    <t>PacificWest has extensive experience in the design, engineering, development, project management, financing, rebates/incentives, &amp; construction of complex battery storage systems. We have developed not only some of the largest installations in Califor but also small single site systems.</t>
  </si>
  <si>
    <t>PacificWest provides training &amp; education for staff &amp; stakeholders. We provide presetion, curriculum, &amp; seminars on battery storage.</t>
  </si>
  <si>
    <t>coct@photonbrothers.com</t>
  </si>
  <si>
    <t>We have the ability to install Solar, storage and Generators for anyone looking to protect or leverage there electric needs. We have three offices throughout Califor, with rly 150 local employees to help service these areas.</t>
  </si>
  <si>
    <t>Scurfield Solar and Heating has been serving Humboldt County for over 11 years, installing commercial and residential solar electric, energy storage, solar hot water, high efficiency space and water heating systems. We have the experience to designd install the right system for you! We envisio future where every Humboldt resident produces all of the power they need with energy from the sun. Our design goals focus on whole home system integration for "net-zero" homes. We offer the highest quality systems at reasonable prices and maintenance for the life of your system.</t>
  </si>
  <si>
    <t>Sierra Pacific Home &amp; Comfort, established in 1984, has a core competency of serving single family homes for the purpose of upgrading the home's energy related systems. Sierra Pacific has rly two decades of installing solar electric systems. Now recently we are installing Energy Storage systems tied to Solar Electric systems. Our competency in energy efficient upgrades (heating &amp; air installation, windows/doors, pool pumps/equipment, water heaters, whole-home standby generators, etc) has positioned Sierra Pacific as a leader in our area for advising and assisting homeowners select the best upgrades.</t>
  </si>
  <si>
    <t>Solar Optimum is among the largest residential solar and energy storage installers ill of Califor. Having the experience and know-how in engineering and installing solar and energy storage systems, we excell in providing clear information, excellent customer service, and quality installations. Our customer experience and reputation speaks for itself in proving that we are Califor's premier solar and energy storage installation company. We have the flexibility to unertake a variety of targeted populations, including medical baseline customers. Our experienced Energy Consultants are able to break down homeowner utility statements and provide the best solution, catered specifically for them. By using the highest grade panels (Panasonic), microinverters (Enphase), and energy storage system (Tesla PowerWall), Solar Optimum is proud to offer full warranties oll of our products (including matching parts and labor warranties!).</t>
  </si>
  <si>
    <t>Energy analysis, engineering plans for solar,incentive application submittal, Interconnectiopplication submittal, permit process, turn key solution for solar installation.</t>
  </si>
  <si>
    <t>We are one of the largest installers of solar and battery systems in San Diego County. We have a significant amount of experience processing SGIP rebates for our customers. Our systems typically pay for themselves as the utility bill savings are almost always higher thany financing payment.</t>
  </si>
  <si>
    <t>Currently authorized Installer for: Electriq Power, Power Pod, Generac PWRCell System, Eguana Evolve System.</t>
  </si>
  <si>
    <t>I currently live i high fire threat zone. I have experience with the utility and counties to ensure a simple process.</t>
  </si>
  <si>
    <t>I am happy to help iny way that I can</t>
  </si>
  <si>
    <t>We have been in business since 1976, which means we have 43 years of experience learning what delights our customers. We have worked in the affordable housing industry to provide solar and storage for many years and have delivered more solar solutions thany other solar EPC firm in Northern Califor.</t>
  </si>
  <si>
    <t>We are constantly educating ourselves on the best practices of install as well as the constantly evolving incentive plans. We strive to become experts ill aspects of our field, including the SGIP process with Equity and Equity Resiliency becoming a priority.</t>
  </si>
  <si>
    <t>Sunce Energy Solutions, Inc.</t>
  </si>
  <si>
    <t>suncenergysolutions.com</t>
  </si>
  <si>
    <t>suncenergysolutions@gmail.com</t>
  </si>
  <si>
    <t>We have experiences with many different industries and types of installations. We have installed indoor and outdoor batteries. We calso offer backup solutions if the customer desires it. We have also installed different rooftop and groundmount solar installations including but not limited to carports, ballasted systems, and full span parking garage solar systems.</t>
  </si>
  <si>
    <t>Our website provides informatiobout different programs and we have experience educating our potential customers through personal meetings and video conferencing about the different programs available. Our battery vendors have also provided us and our potential customers with a multitude of educational documents and webinars to educate about the battery incentives and install options.</t>
  </si>
  <si>
    <t>SunPower works with local small businesses to deploy their solar and storage products. We will provide egement and outreach training to our Dealer Network so that they can effectively ege these customer segments. We will also create web content and proactively reach out by email to help customers navigate the solar and incentives processes.</t>
  </si>
  <si>
    <t>Sunstreet/LER</t>
  </si>
  <si>
    <t>We focus ossisting customers in tier 2 or tier 3 fire areas (in our Counties served), or customer who have experienced multiple PSPS's, and customers dependent on electric powered wells for water, or with medical issues</t>
  </si>
  <si>
    <t>We have served low-income housing projects throughout the State of Califor. Both private and public housing developments as well as apartments. We are a full service solar company from design to final connection to the utility company. We specialize in finding the right fit for both the size and design of the system to meet the customers needs as well as the right financing that will work within the budget and for the customer. We provide in-depth energy audits to make sure every aspect of the facility is covered.</t>
  </si>
  <si>
    <t>We meet with the customer to go over the entire project and make sure that they fully understand what it is they are needing and purchasing from us. We provide company background information, solar equipment informatios well as warranties. We provide the customer with a full solar proposal that shows past energy usages and details as well as future energy needs and production from the solar.</t>
  </si>
  <si>
    <t>We have thoroughly researched and reviewed the SGIP handbook and applicatiolong with attending additional webinars and trainings in order to best complete the applications successfully. This training has been passed onto our team in the office dealing with documetion, proof of qualifications, and other application related questions as well as our team in the field managing installations and monitoring and set up of settings for the storage and storage + solar systems. We have increased our processing team's numbers just to keep up with this demand, each new addition completing the same extensive training.</t>
  </si>
  <si>
    <t>Vector prides itself on providing extensive customer educationd training throughout the sales and installation process.</t>
  </si>
  <si>
    <t>Zero Energy Associates looks at a properties entire energy usage profile as well as air filtrationd comfort. ZEA is know for high quality, durable and state of the art solar and heating/air conditioning systems installations. ZEA has been doing Solar and HVAC work since Jary 2000.</t>
  </si>
  <si>
    <t>Communication regarding the functionality, durability and capabilities of an particular energy system. This means how to operate and understand the monitoring as well as how it works when the sun is hitting the array, how it effects the air filtrationd heating systems and other nces of energy storage.</t>
  </si>
  <si>
    <t>We are somewhat selective about the projects we take on in order to maii reasonable workload and do a good job.</t>
  </si>
  <si>
    <t>HES Solar looks forward to serving homes and non-residential facilities that are in high fire-threat areas, low-income, and/or medically vulnerable. With over 19 years of experience in battery storage, we have all the necessary knowledge to be sure our clients get what they need, what they want, and that they understand how energy storage can benefit their lives and companies.</t>
  </si>
  <si>
    <t>Our team is very sensitive and respectful to individual customer needs and circumstances and have gone out of our way to help them. We focus on quality installations at reasonable prices with excellent followup service.</t>
  </si>
  <si>
    <t>Alpha Energy specializes in Commercial and Non-Profit Organizations in providing the installations and funding for PPA's, PACE, Loans and Operating Leases and Capital Leases. Alpha's Sister company Sunon Energy provides the installations and funding for our Residential Clients.</t>
  </si>
  <si>
    <t>We are one of the longest operating solar contractors in Northern Califor since 1986</t>
  </si>
  <si>
    <t>We have experience working ill types of people and situations. Let us look at the project and the parameters of the need ad we can usually make it work.</t>
  </si>
  <si>
    <t>Seniors- our demographic serves majority of clients 50+ High fire danger areas -Tier 2 &amp; Tier 3 Clients dependent upon wells for their water</t>
  </si>
  <si>
    <t>CalCom Energy is a solar developer, self-performance contractor, and energy services company We develop, build, and maiin solar and energy storage solutions specifically tailored to each customer’s needs. Our primary customer base, and our target customers moving forward, are non-residential customers in the agriculture, food processing, and water industries who are interested in pairing an on-site solar PV system with integrated battery storage.</t>
  </si>
  <si>
    <t>Since 1975, Climatec has been making buildings safer, more comfortable and efficient. We are the leading provider of advanced building technologies and energy solutions for thousands of customers every day. Climatec is an Energy Services Company working with public entities in local government, schools, and colleges providing designd construction in solar, backup generation, and battery storage.</t>
  </si>
  <si>
    <t>Economic Energy Solutions Inc. is a full service solar and energy storage integrator. We have been in business since 1997 and have all 5 star reviews. We focus on providing high quality equipment and professional custom installations with a focus on providing the most efficient, longest lasting personalized solution possible.</t>
  </si>
  <si>
    <t>We have worked extensively with assisted living, low income, and veteran's facilities providing solar and other energy saving technologies. Additionally. we have supplied and installed CHP to commercial facilities(some in low income areas) and multi-family living facilities.</t>
  </si>
  <si>
    <t>Enable Energy, Inc. has bee trusted source for renewable energy products in Northern Califor since 2014. Our highly experienced team of licensed professionals looks forward to helping you achieve lower cost energy.</t>
  </si>
  <si>
    <t>As a pioneer in renewable energy, Energy Options is an innovative renewable energy retailer selling PV Solar, Wind Turbines, leading edge energy storage and battery backup solutions. With over 30 years in the business, we specialize in custom solar systems, small wind turbines and advanced energy storage technologies including patented battery and hydrogen systems. As a Bergey WindPower dealer since 1982, Energy Options has installed the majority of the wind turbines in LA County. From design through permitting and installation, our reliable team of professionals has a proven track record of success. Having sold and installed hundreds of grid tied and off-grid battery energy storage system to date, the team at Energy Options are experts at designing the right solution for each of our customers.</t>
  </si>
  <si>
    <t>Longest bumper to bumper warranty in the industry at 30 years. Only Graphine patented solar panels in the world. Industry leading degradation of 96.5% over 25 years</t>
  </si>
  <si>
    <t>Team has experience working with targeted populations through PACE financing offering. Several years of experience working with low income homeowners offering PACE i equitable, honest way. Our main goal is to help people gain resilient, efficient homes that save them money.</t>
  </si>
  <si>
    <t>We are well versed in residential solar and storage systems. We can provide a full range of commercial solar and storage solutions including roof mount, ground mount, and carport shade structures. We can help with the mitigation of TOU and high demand charges.</t>
  </si>
  <si>
    <t>We are a local family-owned company who has been in business serving Southern Califor for over 32 years. We have hundreds of happy customers and would love to visit with you and see how we might assist you in reaching your goals.</t>
  </si>
  <si>
    <t>It would not accept our corporation CSLB number 1051727 because is gave an error that the # of digits should not exceed 6. I listed our old sole proprietor number. This will need to be updated in the system.</t>
  </si>
  <si>
    <t>We have experience working with Grid Alternatives and the San Jose Convervation Corps Charter School working with low income individuals. We have hired workers from SJCC. At least one of our employees speaks fluent Spanish. We have installed both solar and battery systems in rural areas subject to PG&amp;E High Fire Threat.</t>
  </si>
  <si>
    <t>We specialize in residential and small commercial power generationd storage systems. Our specialties include solar photovoltaic with battery back-up systems and back-up generators.</t>
  </si>
  <si>
    <t>Scott Carlson, our contractor and President has been installing battery based solar systems since 1988. When he began installing solar, there were no grid tied inverters, so every system he installed included batteries. Grid tied inverters came out in the late 90's and since that time, we have installed mostly grid tied systems, but have continued to install battery systems for customers that have requested them. Battery systems today are sleek, able to connect to the grid and give our customers peace of mind if the grid goes down.</t>
  </si>
  <si>
    <t>RHA serves as the Pilot Administrator for 5 of the SJV DAC Pilot communities and the Pilot Implementer for PG&amp;E's 3 Pilot Communities. RHA also serves as the Program Implementer for PG&amp;E's Central Valley Energy Savings Assistance Program, a weatherization program for low-income customers designed to maximize the energy efficiency of their homes. RHA has decades of experience providing essential services to low income, hard-to-reach and disadvaged communities.</t>
  </si>
  <si>
    <t>Sage has beessisting customers for over 10 years to save money and achieve energy resiliency with solar and battery storage systems. We have worked with many clients in Disadvaged and Low Income Communities throughout the state.</t>
  </si>
  <si>
    <t>San Diego County Solar installs high-quality solar and storage at competitive prices. Based in Carlsbad, we are well situated for sales and service in SDG&amp;E territory.</t>
  </si>
  <si>
    <t>Iddition to access to all brands of solar and energy storage systems, my firm has a direct company affiliation with a new solar inverter plus bi-directional EV Charger technology which will allow EV's to power homes and small businesses. My company is also a certified Tesla Parnter installer / provider.</t>
  </si>
  <si>
    <t>Full service solar, storage,and generator solutions residential and commercial. No cash out of pocket financing available.</t>
  </si>
  <si>
    <t>integrated sol, storage and DC generator hybrids Also AC standby generators</t>
  </si>
  <si>
    <t>Since the opening on the equity resilience budget we have submitted 16 applications with about 12 more to go. Our service territory includes a substantial amount of customers who are both i high fire danger area as well as having wells. We also have customers with PG&amp;E medical baselines. We work with one of the local Indian reservations as well.</t>
  </si>
  <si>
    <t>Solarponics, Inc has been providing energy independence for both businesses and home owners for 30 years. Our services include Solar, Energy Storage, and water heating. Solarponics, inc. is happy to offer systems that are financed if you are looking for simple monthly savings or for purchase if you are wanting to maximize your Rate of Return.</t>
  </si>
  <si>
    <t>We are energy experts with over 20 years in solar and storage experience. We approach every customer as a unique opportunity to educate and consult with them to seek the most effective solution for their needs.</t>
  </si>
  <si>
    <t>Sunistics was founded in 2012 in Los Angeles with a mission to make a positive environmel impact while focussing on our core competencies; energy engineering and construction. With more than 50 years’ experience in renewable energy between its leadership team, Sunistics has helped thousands of people lower energy costs and played a key role in the construction of over 150MW of solar power.</t>
  </si>
  <si>
    <t>We have experience working with farmers. Most of our work is in the Ag and commercial sector. We specialized in Solar+Storage pumping systems with a focus on energy efficiency and resiliency.</t>
  </si>
  <si>
    <t>SUSTINEO, WHICH IN LATIN MEANS “TO UPHOLD, SUSTAIN, OR ENDURE” IS THE FOUTION OF OUR COMPANY. Founded in 2007 and incorporated in 2008, by a team of industry leading design engineers, Sustineo is an engineering firm specializing in sustainability and renewable energy power projects. Based in San Diego, Califor we provide designd consulting services to clients throughout the U.S. market. Our core expertise is the turnkey design of solar PV projects for commercial, government, military, and utility scale clients. Our strengths are providing flexible and comprehensive approaches to system designs with uralleled speed and accuracy.</t>
  </si>
  <si>
    <t>Swell is currently working with residential customers statewide to provide solutions to low-income, medical/high-fire zone, SASH and tribal projects. We are also working with non-profits, tribal commercial projects, city governments and various other populations that correspond with Equity Resiliency projects. Specifically, some examples are working with tribal governments such as Pala, Rincon, Sa Ysabel, San Pasqual on residential and commercial projects, are working with non-profit groups such as the Community Environmel Council to help serve entities such as Planned Parenthood and have partnered with the Independent Living Resource Center (Tri-counties) to help bring energy storage solutions to medically vulnerable populations in high-fire zones among other programs in development.</t>
  </si>
  <si>
    <t>We are are project developers with partnerships with multiple C-10 contractors. We have a formal employment relationship with Solar Winds Energy - C-10</t>
  </si>
  <si>
    <t>We are a Tesla Certified Partner - Can install Tesla Powerwalls We have been in business for 12 years We are locally owned and operated</t>
  </si>
  <si>
    <t>Urban Energy, Inc. is a full-service electrical contractor operating in the San Francisco Bay Area specializing in residential, commercial and industrial electrical services, back-up power solutions, solar/PV wiring infrastructure, home automationd lighting &amp; design. With over 20 years of specialized expertise, we understand how to ensure different electrical systems operate together effectively. We recognize how collaborationd workmanship create caliber and reputation. Our diligence and regard to our clients' needs are reflected in every project that we undertake.</t>
  </si>
  <si>
    <t>We simplify energy storage. We perform a customer needs assessment to evaluate storage capacity, type and installation method.</t>
  </si>
  <si>
    <t>A1 Sun is family owned and managed. Our team of knowledgeable installers and design professionals come from within our local community. Our community is our customer base. Our customer base is our best advocate.  We are committed to providing the best value for our clients, while benefiting the planet by doing business sustainably. A1 Sun's strives for the highest quality throughout your Home Energy Storage project, all the way from survey and analysis through to designd installation.  We want you, as customer, to understand exactly what Home Energy Storage will do for you, how it can meet your goals, and how you should prepare for utility outages.  Home Energy Storage can be complicated; A1 Sun will guide you through making the choices that are right for you, without oversimplifying or over-promising.  The result is that you will be an informed, prepared owner of a reliable backup power source.</t>
  </si>
  <si>
    <t>AltSys Solar Inc. is a full service solar energy and storage company. 2019 Award Recipient of THE "One and Million" Solar Company award by the Califor Solar and Storage Association. We work in Residential, Ag, Commercial, and are located in one of the San Joaquin Valley. Locally owned and operated.</t>
  </si>
  <si>
    <t>We specialize in economically priced solar and energy storage systems, primarily using new safe battery chemistries such as LFP batteries, providing long term value. We have designed dozens of systems for complete off-grid energy offset. The ideal system is a hybrid solar energy system which is fault tolerant if the grid is to fail. We offer a long term warranty oll projects, and the equipment we use offers warranties of up to 25 years form the manufactures.</t>
  </si>
  <si>
    <t>ForeFront Power’s team has over 15 years of experience in the energy market space and an extensive track record of successful projects completed. Our experience includes project development work across 23 states with local presence in Califor (headquarters), Colorado, Illinois, Maryland, New York, and Texas. As such, we are proud to have partnered with many customers across the United States. ForeFront Power’s sole focus is the development of solar and energy storage projects under long-term agreement structures for commercial and industrial customers. Since our company is not sharing internal resources with other segments, our onsite customers and their unique needs receive our full attention, expertise, and focus. Consequently, we deliver a best-in-class customer service experience and one partner for the life of the project.</t>
  </si>
  <si>
    <t>As a mission-driven, non-profit organization, GRID’s outreach staff have established a continued presence in the communities we serve through the marketing and outreach activities undertaken with our current energy services, including solar, clean mobility, workforce development and training. GRID uses on-call translation services to assist clients who speak other languages and are also able to pre-qualify interested homeowners during the initial phone call. Once a prospective client has been prequalified, our local outreach staff will serve as liaisons and advocates for each client through completion of the application process and provide support and education throughout the multi-step installation process. GRID’s experienced, multicultural staff offer a flexible, personalized outreach approach that ensures equitable access to our services regardless of race, abilities, age, language, culture, gender identity, educational attainment, or any other distinguishing characteristics. We endeavor to create communication materials that have accessibility for all needs in mind. GRID also provides reasonable accommodations to reduce or remove barriers to participation to individuals that are, for example, deaf/hard of hearing and blind/vision impaired, as well as clients with physical disabilities, limited mobility, cognitive or psychiatric impairments or have transportation challenges. Through GRIDs extensive experience working with disadvaged and underserved communities, our services have already benefited thousands of families in the targeted high fire threat areas and in communities who have experienced public safety power shutoffs. GRID will work to ensure all of our services are leveraged and coordinated to the extent possible, and every eligible SGIP storage applicant will be provided information ond access to GRID’s full suite of energy programs and technologies, including residential solar, community solar, clean mobility, energy efficiency, and job training initiatives. All of GRIDs programs will continue to be offered at no-cost to eligible households, meaning GRID will only work to save you money, and will never charge a single customer for our services.</t>
  </si>
  <si>
    <t>Palomar Solar and Roofing has made a name for itself by focusing on the customers overall positive experience, offering only the highest quality products, completing our own installations and monitoring each and every system to ensure our customers investment in solar is always performing optimal. Only 10% of solar companies monitor their systems. The other 90% hope you never call after they receive final payment. Ask to see systems they are monitoring before making a decision. Whether you are looking to install thousands of panels on your commercial building or as little as 10 on your residence no job is too big or too small for Palomar Solar. We have completed installations on every roof type, build the best ground mounts in the business and carport structures as well. If you want the TRUTH about solar, schedule a free consultation with one of our professional consultants. It will not be a waste of your time!</t>
  </si>
  <si>
    <t>About our company: Treeium Energy sets the stard when it comes to green energy solutions in Califor. We work with homeowners who feel they pay too much on their utility bills (Water, Gas, and Power) and want to find ways to save money while saving the environment. Our custom proposals present a comprehensive energy-saving package that utilizes the most advanced green energy upgrade products and rebates to deliver you the best value and service in our industry. These upgrades are designed to cut homeowners' utility bills, increase home comfort, boost property value, and ensure that we are helping to save the planet with every new project. Where many other companies are constrained to one or two installation methods and a very limited choice of industry products, Treeium Energy offers a variety of installation options and industry products. Combined with personalized project management, we have all the tools to deliver a system tailored to the customer's needs. There is no point going 100% Solar if your home isn't 100% efficient. At Treeium we will upgrade our client's home efficiency prior to the installation of solar to reach a 100% usage offset. By doing this, our customers will enjoy lower energy bills, an increase in home comfort, and value while redirecting only a portion of the utility savings to pay for their new improvement.</t>
  </si>
  <si>
    <t>3fficient is an international award winning clean-tech utility cost savings company. We work with building owners and their tenants to redirect incentives, energy, water and other cost savings back into their business, people and brand. So far, we’ve saved our customers over $1 Billion (and counting). We have been in business over 25 years and are now providing commercial-grade professional energy cost savings to schools, government, tribes, commercial, industrial, multi-family and assisted living clients. We are looking forward to expanding on our initiative to bring a new level of care and service to individual homeowners and tenants in underserved and tribal communities, especially those subject to power safety shutoffs and unreliable utility power.</t>
  </si>
  <si>
    <t>Well informed customers provide the best referrals. Before any upgrades are contracted or installed, our customers are trained on their baseline energy use, energy rates and how various building systems impact their usage. We look for low and no cost resources and ways to reduce usage in order to minimize renewable energy systems and costs. We will also review financial impacts and provide tips on further cost savings such as potential tax credits or other resources to benefit them.  Before installation, our project managers will review the process with them and ensure all questions are answered before, during and after upgrades. Before completion, our project managers will make sure they understand operations and review how their usage will impact their bills and their comfort as well as any maintenance requirements. Whether we are maiining our customers installations or not, we like to follow up ate regular intervals to see how their lives have improved and provide any additional resources that may help them. Multi-language videos, customer feedback and other resources will be integrated over time.</t>
  </si>
  <si>
    <t>PACE  0 upfront</t>
  </si>
  <si>
    <t>Electrical Service Department Solar PV Energy Storage Engineeering services Design-Build services Energy Efficiency Lighting</t>
  </si>
  <si>
    <t>we ege customers to fully understand their needs and educate them on the systems. We also speak to groups to educate about solar and storage. We believe in reduce before you produce and help customers know what they need to do to have a more efficient home. We are members of the Califor Solar and Storage Association (CalSSA)</t>
  </si>
  <si>
    <t>SOMAH programs are available for MultiFamily Residential Units. No Upfront Costs for PPA's and Leases for both Residential and Commercial Clients. Our specialty is to help find the No Upfront Costs funding that will fit the clients needs.</t>
  </si>
  <si>
    <t>Multi licensed Contractor “B” general C-10 Electrical C-7 low voltage SBA 8a micro biz certified MBE certified EV charging station certified OSHA 10 certified Bilingual ( read/write/translate Spanish ) Great Analysis, estimating, organizationd communication skills</t>
  </si>
  <si>
    <t>Going solar is a big and exciting decision that will change your home and allow you to control your rising electric utility bill. At Ambrose Solar, our Solano County solar professionals invest the time and apply their skill at the very beginning to designd install a solar system and/or battery storage solutions that lets you get more energy and more electricity savings from your home. We Are Solar Professionals Your installation is handled by professionals, from start to finish. As each solar project is slightly different, we take the time to custom designd calculate the highest yield of energy possible. Our solar experts in Solano County do everything in house, making your experience worry free. The installation is usually complete within 1-2 days depending on the size of your system. Our Solano County solar panel installationd battery storage crews have years of experience in roofing and electrical ensuring that you have the best solar installation possible.</t>
  </si>
  <si>
    <t>PACE Financing - based on the property value, not owner credit/cash-flow. This is a common source of financing for renewables projects, including solar, storage, lighting, hvac, and roofing upgrades.  For clients in the SGIP Equity Budget regions, we are able to offer increased up-front rebates for energy storage projects.</t>
  </si>
  <si>
    <t>The Baker Electric Renewables Division has helped many customers lower their operating costs - including many non-profits such as private schools, houses of worship, and even the local San Diego Food Bank. Property/Building Owners - Owner/Occupied Options are available to help you: -lower operating costs -retain tenants -increase cash flow potential This can be done with no out-of-pocket cost through PACE financing, with likely no impact to your borrowing ability. net cash flow positive in year 1. Typical Requirements: -Must have minimum 20% equity in building/property -Must be current on property taxes -may be credit check, but approval is not based soley on credit check -Minimum project value of $150,000 (for solar/solar+storage/EVSE projects) - Baker requirement</t>
  </si>
  <si>
    <t>We provide a free evaluation for solar and storage and offer facility audits to develop energy efficiency plans and projects that save money, improve facility operations, and increased employee and tenant satisfaction/retention. Projects in underdeveloped/undeserved zones may be eligible for additional incentives.  For clients needing or wanting financing, we offer vetted financing partners that have capital available NOW. This financing has been here for years, but is still available today for your renewables projects -- with terms out to 30 years. That means you'll be saving money in the first year the system is operational!</t>
  </si>
  <si>
    <t>We put water, power, suveillance and communications anywhere on the planet. No area too remote. We have been building solar and power solutions since 1992. Drink ultra pure water from every tap in the house well or city water, we will clean it. Never lose power again oll critical ckts or go micro grid for your whole load center...</t>
  </si>
  <si>
    <t>We always attain certification training ony gear we build with and maiin. If it is in the best interest of the public or client base we service we will attend any training necessary to effect, safe and ultimately provide the best customer service and product delivery possible.</t>
  </si>
  <si>
    <t>Suge Loans PACE Funding Leases PPAs</t>
  </si>
  <si>
    <t>As part of the new SGIP incentives program CalCom Energy is offering the following for our focus customer base: 1) Screening for initial SGIP program eligibility and eligibility summary report. Ensures customers are receiving the correct and most valuable incentive. 2) If eligible and interested in pairing battery storage with on-site solar PV system we can work with the client to create an optimally sized PV and battery storage stand-alone system or a fully integrated micro-grid solution. 3) Customer assistance with the SGIP application process.</t>
  </si>
  <si>
    <t>We have both lease and Solar Service Agreement, similar to PPA, options. In many cases, we're able to do the projects at rebate-only price. In those instances, we only take payment via the rebate, further increasing our assistance to low-income customers.</t>
  </si>
  <si>
    <t>CSLB# 1049108 We work with third party lenders that have low monthly payments and deferred payments.</t>
  </si>
  <si>
    <t>Signature loans Pace Possibly in house if SGIP is guaranteed</t>
  </si>
  <si>
    <t>We offer Photoltaic Solar Grid Tie and Off Grid design, sales and installation for Residential, Commercial and Agriculture. Roof or Ground mount. Backup battery systems, Certified installers for Tesla, Generac Pwrcell, Sonnen Backup generators up to 150kw General Electrical service for new constructiond remodels Lighting control systems</t>
  </si>
  <si>
    <t>DEpending on the credit we can offer 0 money down no payments for 6 to 12 months. WE calso offer regular credit union financing with credit over 650, this also $0 down We can offer financing for credit bellow 650 with a higher interest We can offer 2 months same as cash with $0 down. DEpending on the customer and their credit score and income we have several solution we can offer.</t>
  </si>
  <si>
    <t>We do Full Electrical Work Lighting control Solar Storage We also undertake ony custom solar and storage installation that falls out of the normals and sdard installations, we put systems together no matter the challenges.</t>
  </si>
  <si>
    <t>WE can educate customers on the benefits of solar and storage to see if this is a good fit to them. We take customers through the complete step by step on how the system will be put together and how it works. We also work the financials with them this allows the customer to see if a solar and storage system is for them.</t>
  </si>
  <si>
    <t>We provide the following services from the beginning of the process to the end to ensure that our customers get the most value from an energy system. We fist perform an energy usage analysis and explain how usage effects their system and their costs. We then perform a cost benefit analysis with new system options to help customers understand the financial implications of their options. We then perform a system designd create a package that shows the customer what they will get and how much it will cost. We provide complete installationd orietion. All this can be performed in Spanish and English.</t>
  </si>
  <si>
    <t>We have a program that educates customers in how energy systems work. When we discuss a customer's energy system, we first ask a series of question that help us determine what they have, then we explain the following. Their utility bill including peak and off peak rates. The equipment in ther system now The equipment in the system after storage is installed. How storage works. Software we use to give them a deeper understanding of their energy usage as a consumer and how they can reduce both their bill and their usage. The overall technology that is used to perform these functions. What their new system will look like and how it will benefit them. How to use their new system.</t>
  </si>
  <si>
    <t>For Low Income, multifamily regarding solar pv combined with batteries or batteries stand alone, if the Client assigns the rebate either to us or our supplier we can finance the difference between the  cost of the system and the first year's rebate until the project is installed, approved by the city, and approved by the utility for interconnection. with rebate assignment we will finance the difference between the cost of the system and the year 1 rebate. This allows the Client to not be out-of-pocket for the entire cost of the system and to benefit from the saving from day one of his investment.</t>
  </si>
  <si>
    <t>Elements of Earth and Energy (EEE, Inc.) is a Califor based corporation offering solar Photovoltaic (PV), Advanced Energy Storage, Sustainable Housing and Urban Farming solutions to residential and commercial clients throughout our disadvaged communities. We are your one-stop-shop for design, engineering, permitting, installation, inspection, and maintenance for sustainable solutions in our communities. We specialize in new or existing improvement projects that reduce your electric bill or eliminate it completely. We offer energy storage systems for: emergency battery back up, back up for medical equipment, self consumption, load shedding and peak demand solutions to hedge against future rate increases by the utilities, city black and brown outs. EEE is a licensed General Building, Electrical and Solar contractor (B, C-10, and C-46) registered with the Califor State License Board # 969938, since 2012. EEE was contracted by SCE, SoCal Gas Co, ICFI and the Energy Upgrade CA program from 2012-2016, as the program’s mentor and trainer for Energy Efficiency and Advanced Building Performance. As a result, EEE has been paving the path for energy efficiency and renewable energy, here in Southern Califor, ever since. We will assist you to get the maximum allowable rebates and incentives available for your project. If you've had enough of high-energy bills, call us and we will give you peace of mind once again. We designd build: - zero net energy projects - green construction - new &amp; remodels - solar electrical PV systems - advanced energy storage systems (on or off grid) - electric vehicle (EV) charging stations - smart phone PV and ESS monitoring - panel level monitoring of solar PV panels - solar PV air conditioner systems - solar PV water heater systems - heat pump integrated solar PV systems - solar PV pool pump solutions - energy management systems</t>
  </si>
  <si>
    <t>Enel X’s expertise, resources, and technology help C&amp;I customers capitalize on the full value of energy storage. Enel X helps customers integrate energy storage by: 1.	Designing the optimal energy storage system for their facilities 2.	Offering financing options to accommodate our Customers’ needs 3.	Purchasing and coordinating the installation of the system 4.	Integrating a software application designed to deploy the system for optimal economic output We also provide a suite of other energy services including Demand Response, Energy Supply Management, EV Charging, and Utility Bill management.</t>
  </si>
  <si>
    <t>We will become familiar with D.19-09-027 and D.20-01-021 We also intend to stay abreast of all battery and other storage technologies.</t>
  </si>
  <si>
    <t>GC Electric handles everything from solar for residential to industrial electrical service. Our sister company is a licensed roofer.</t>
  </si>
  <si>
    <t>Access to several PACE funding options and other traditional lending options (Suge) Enough capital to front funds for several projects to complete project and wait for the SGIP funding. Customers would not be responsible for any upfront financial liability.</t>
  </si>
  <si>
    <t>Gold Rush Energy Solutions provides installation of home batteries, solar, generators and load management systems We provide free energy analysis to determine the best solution for our clients specific needs. We have access to all major finance companies who provide low interest rates and zero down options.</t>
  </si>
  <si>
    <t>WELCOME TO THE GOLDEN STATE POWER FAMILY We are one of the original pioneering solar contractors of Califor, and most of the USA. Our roots grow deep in the renewable energy space dating back as early as the 70's. Our current corporation was established by father and son team Joseph and Gabriel Bork way back in 1999. Yep, that is long before solar was taking the world by storm. We have developed many of the industries leading techniques and continue to refine the installation process to this very day. We absolutely LOVE what we do. Here is some additional informatiobout Golden State Power: • Custom Solutions can include: ground mounts, patio covers, electric vehicle chargers and battery/generator back up power • We offer HVAC, Roofing &amp; LED Lighting packages • Tesla Powerwall, LG Chem &amp; Sonnen Battery packages available • NO TOUCH SALES PROCESS to keep you safe – everything will be done online. • We care how solar looks on your roof, therefore, we run the conduit through your attic to keep things beautiful • 25-Year Roof Warranty - (ZERO leaks in 25 years of business) • 25-Year Panel &amp; Inverter Warranty • 25-Year Workmanship Warranty • 25-Year Performance Guarantee • 25-Year Monitoring (You can see every panel and how it's performing) We guarantee your satisfaction oll aspects of our work. We're never satisfied until you're satisfied. What ever it takes! We really do look forward to earning your business.</t>
  </si>
  <si>
    <t>Solar and battery power are for everyone. With this belief comes the responsibility to be ready to serve all those that would like to take advage of this cleaner more renewable energy source. Golden State Power has had 20 years of experience in the industry and we have already served many low-income, medically vulnerable, access and functional needs, tribal, and disadvaged communities up and down the great state of Califor. We are blind to any facts other than the fact that you desire to learbout and potentially adopt a better recourse for your energy needs. Power, ill its forms will eventually been seen for the human right that it is. We aim to be a part of this revolution. Come one come all! Specifically, we intend to produce marketing and educational material in English, French, Portuguese, and Spanish. We already work with several finance partners that are making solar accessible on levels and scale that have been historically for only those that could "afford" it. Time are changing and we are seeing a big push to get solar and battery in the hands of anyone that wants it. There is still much work to be done on this front, but we will continue to champion for this. We are currently working with the Department of Energy to designd install micro grid systems that include solar, battery, and generator technology to keep tribal lands detached from the utility service and help them retain the status of sovereignd independent from the United State of America. We support the tribal communities and respect an value the contribution to our world that they provide. We would love nothing more than to be a bigger part of this process.</t>
  </si>
  <si>
    <t>We are a full service Electrical, Solar, and HVAC firm that has worked with all parts of the community. We have clients that manage low income properties that utilize our expertise to maiin the facilities. All of our installation teams are W2 employees. We drug test and background check all new hires and maiin strict policies to ensure we provide the best service possible.</t>
  </si>
  <si>
    <t>Our experience has shown that continued support and assistance evefter the installation must be part of a client’s journey to ensure a positive experience and achieve the deep community impact envisioned by the program. Iddition to the tailored approach taken by each outreach staff, GRID provides a centralized, multi-language phone and email system to assist and streamline servicing needs or maintenance questions after the installation. Homeowner educational resources and materials are made available on GRID’s website and via automated email communication to reinforce educationd support provided by outreach staff. All communicationd educational materials are designed to be understood by a variety of education levels, available in multiple languages and offered i variety of accessible print.  GRID Alternatives offers a grant-funded technical assistance program for owners of affordable multifamily housing and non-profit commercial facilities to educate owners about the benefits of solar for the last five years, and is working to include energy storage solutions into the technical assistance offering. The current technical assistance program provides utility bill analysis, remote site assessments, cost estimating and financial analysis at no cost.  GRID will remain committed to providing up to date, in-depth information on energy storage technologies, energy saving opportunities and education, SGIP program status and the availability and all other services available to the families being served.</t>
  </si>
  <si>
    <t>We can loan them the money to cover the application costs. For those who qualify, we cassist them ipplying for an equipment loan to purchase the equipment and then they can pay off that loan when the incentive is paid.</t>
  </si>
  <si>
    <t>We are extremely available to our customers to help with any questions or concerns they might have. We also like to post the instructions for what they need to do to manage their system during a power shut-off situation. It sounds so basic, but just posting a list of the steps to take to start running totally off batteries is something that can calm them down during a power crisis. (Also makes us get less phone calls to remind them how to do it :)</t>
  </si>
  <si>
    <t>Highlight Solar designs and installs energy storage and solar power systems for residential and commercial clients. The company provides a complete range of services that are designed to streamline the solar process for its customers (including monitoring, maintenance and ongoing support), and it works directly with several industry-leading solar panel, energy storage battery, and inverter manufacturers so it can offer the best possible solutions available in the market. We’re the leading residential and commercial energy storage and solar panel installation company in Sa Clara and San Mateo Counties. Our customer focused business approach has bee crucial element of its success. Our customers are our main partners and the backbone of our business, so supporting them is always our number one goal. When we install a solar electric system and the client actually sees their meter spinning backward, that’s a very special moment for everyone involved. Highlight Solar also installs SunStar solar pool heating systems that allow homeowners to swim comfortably all year-round. Ultimately, everything we do is geared toward optimizing the efficiency of our customers' energy consumptiond reducing their overall carbon footprint, and our solar pool heating systems are just one more way we accomplish that. COMPANY PHILOSOPHY Our goal is simple: Provide every client with clean, renewable energy at a fair market value. By taking the time to listen carefully to our customers' needs, we’re able to tailor a system that perfectly fits their lifestyle and complements their home.</t>
  </si>
  <si>
    <t>We will educate customers about How: Solar panels work How inverters work How batteries work How Energy Storage works How SGIP works How interconnections to CPUC works</t>
  </si>
  <si>
    <t>PACE Programs 1. hero 2. califor first  $0 to minimal upfront cost</t>
  </si>
  <si>
    <t>We may be able to offer PACE Financing.  If loans are guaranteed, we may be able to support this to a limited number of customers.</t>
  </si>
  <si>
    <t>We use several low income and bad credit lenders for clients who are struggling plus stay in heavy touch with any and all rebates serving low income.  Some of our low income bad credit lenders include hero program, renew financial, and ygrene.  Thank you</t>
  </si>
  <si>
    <t>We have familiarity with numerous battery based solutions and so can explore various avenues with the client during the design phase rather than being restricted by equipment experience limitations. Our team has decades of grid independent system designd installation. We offer services ranging from critical loads backup to whole home or business backup. We empower our customers with continuing customer education from design to install and beyond.</t>
  </si>
  <si>
    <t>We approach all systems from a system design standpoint, reviewing the customers needs to be reflected in the system provided.  We start with an Energy Audit and comprehensive review of current and future usage to best determine the actual needs of the customer. We review the customers budget and can offer financing or guide them to grant funds if needed. We design the system using a matrix which includes: Current and future needs Customers budget constraints Solar, batteries and generator options The best equipment for the customers need. We offer ongoing service contracts to customers or work with them to teach them how to service their own system to the extent that it is possible and feasible. We have familiarity with numerous battery based solutions and so can explore various avenues with the client during the design phase rather than being restricted by equipment experience limitations. Our team has decades of grid independent system designd installation. We offer services ranging from critical loads backup to whole home or business backup. We empower our customers with continuing customer education from design to install and beyond.</t>
  </si>
  <si>
    <t>$0 down unsecured. UCC filing on property.  PACE</t>
  </si>
  <si>
    <t>We are adept and assisting populations with medial conditions. We have installed systems for handicapped customers and understand their needs. Back-up power systems are very important when there is a crisis as that is when the need is the greatest and the system should not fail.</t>
  </si>
  <si>
    <t>We spend a great deal of time with the customer to be sure they understand the system and can utilize it if and when there is a problem. Understand the system and having the customer go through all the steps for re-set and errors is very important as we understand their needs.</t>
  </si>
  <si>
    <t>We have a variety of low cost financing options. All Pace financing programs as well as rolling out a round of self-financing options that allow Llumetec, our company, to loan customers short terms until rebates can be obtained.</t>
  </si>
  <si>
    <t>We provide ongoing customer education re: their installed equipment, the features and functions thereof, and community-based microbusiness incubating for neighborhoods in which our low-income, residential customers may live.</t>
  </si>
  <si>
    <t>Since our company has been installing battery systems since 1988, we have always taken the time to educate our customers as to what a battery based solar system can do for them. Most companies advertise that a battery can power the whole house, which isn't true. Unless a battery system is designed to take care of the electricity for the entire house, the customer will only be able to have certain circuits with power if the grid goes down. The customer will be able to choose the circuits, but if the grid goes down the battery will not be able to power items such as the a/c.</t>
  </si>
  <si>
    <t>$0 upfront customer financial liability for the SGIP rebate if paid by SGIP within 60 days of complete claim submission by NexGen Construction. Rejected or delayed rebate claim amounts shall be paid by low-income customer to NexGen Construction upon rejection or delay.</t>
  </si>
  <si>
    <t>Prospects will know the benefits of batteries for resiliency and the impact on their utility bill using our online proposal tool. They will work directly with the owner, Eric Helgeson. See our reviews on Yelp.</t>
  </si>
  <si>
    <t>Sunlight Pacefunding Mosaic</t>
  </si>
  <si>
    <t>Our company uses only MADE IN USA products. Our company offers hybrid and rate shifting battery installations. Our company provides all operationd maintenance services for our clients after the installation. Our company has installed dozens of battery systems.</t>
  </si>
  <si>
    <t>We offer financing through several different credit unions, nothing out of pocket and zero down, rates as lows as 2.99%</t>
  </si>
  <si>
    <t>We typically help facilitate financial assistance to customers through PACE loans (generally via www.califorfirst.org - administered by Renew Financial). We also help facilitate solar/storage loans through Redwood Credit Uniond Provident Credit Union.</t>
  </si>
  <si>
    <t>We are offing loans programs that accept 640 credit profiles or better. Also pace where available.</t>
  </si>
  <si>
    <t>ESA with shared savings, down payments of 0-40% dependent on project complexity</t>
  </si>
  <si>
    <t>Promise Energy has access to a proprietary technology that provides increased resiliency and cost savings capabilities - exclusive partner of k.io energy cloud serving Low-Income and affordable housing in Califor.</t>
  </si>
  <si>
    <t>Energy load profile analysis, mapping of critical and non-critical loads, prioritization of loads i whole building back up configuration, energy management tools and training, energy insights, utility bill comparisond analysis</t>
  </si>
  <si>
    <t>Pure Power Solutions designs and installs solar energy and battery storage solutions for homeowners and commercial property owners in Sonoma, Napa, Marin, Mendocino, Lake County, and beyond. We have been operating for over 2 decades in this industry and have expertise i variety of system configurations, including rooftop, ground mount, parking canopy, grid-tied, off-grid, microgrids, and commercial-scale energy systems. We understand that everyone has unique needs and goals. That is why we always take the time to listen, learn, and educate our potential clients to determine the best possible renewable energy solutions for them or for their businesses.</t>
  </si>
  <si>
    <t>We offer 3 types of unsecured financing and 3 types of secured as well as the PACE loans. All of our loans have 0 up front cost to the consumer.</t>
  </si>
  <si>
    <t>We are actively working with local and State governments, and CCA's, to develop solar + storage projects for resilience at critical community facilities.</t>
  </si>
  <si>
    <t>Sattler Solar Inc. and Electrical Contractors provides turn key solar and electrical contracting services and comprehensive cost analysis for commercial, and residential renewable energy projects. Our goal is to install reliable solar and energy storage systems that are intuitively monitored so that customers always understand that the system performs as proposed. We are authorized Panasonic and LG Solar Installer and also authorized on the following battery storage manufacturers: - LG Chem - Generac PWRcell - Sonnen Batterie, - Panasonic Evervolt Battery - Energport Our partnerships with industry leading manufacturers such as Panasonic, LG Electronics and SolarEdge allow us to provide industry leading warranties to our customers. We offer whole house back up solutions and take a custom approach on each individual customer. One size does not fit all. In fact from our experience, Energy Storage often does not make sense for the "stard" customer. Commercial Customers may see real cost saving potentials by adding energy storage to facilitate load shifting and reduce demand charges!</t>
  </si>
  <si>
    <t>Each customer should be educated on the real cost of solar and battery storage. We take particular caution to make sure each customer takes the time to review the Califor Solar Consumer Protection Guide and explain the highlights (No production during grid outage, utility minimum fees, getting several quotes, etc) independently. With regard to energy storage we make clear that for customers that can withstand brief grid outages on occasional basis, a battery mostly does not make economic sense. Most battery options only allow or a limited back up load that typically is exhausted by a fridge, some lights and TV. Air Conditioning loads are very expensive to back up. Furthermore the customer needs to understand that a battery has a limited life expectancy and over time the capacity will be reduced. Customers that do not qualify for SGIP incentives should only choose a battery if the cost is justifying their increased comfort level. Customer Education is a critical part of what we do. Battery storage does not pay for itself only using peak load shifting and increased self consumption given the current NEM opportunities. Commercial Customers however often see a much more apparent cost saving accounting for incentives, depreciationd tax credit. The ability to reduce demand charges on certain commercial load profiles contributes much to this trend.</t>
  </si>
  <si>
    <t>Specialties: We make going solar easy! Finding a solar company you can trust to do a great job and minimize the effort on your part can be tough. At Save a Lot Solar, we provide you with a worry free solar electric system installation. We will not call you repeatedly or flood you with emails. If you respond to our proposal, we will respond with a total commitment to making you happy and saving you money on your electric bill. If you do not respond, we will not bother you. We will give you a fair price. We will leave you with a smile when we are done, saving you thousands of dollars on your electric bill and knowing you got a great system that was installed with ease and competence. The five star reviews we receive demonstrates our ability to deliver your solar system to your satisfaction. We make sure every single customer is treated with respect for their investment and their property. Our Photo Voltaic systems use top of the line 'State of the Art' Enphase Micro-Inverters and Canadian Solar 275 watt mono crystalline panels and come with a free monitoring web site. For locations with a limited amount of usable solar access, we offer LG 345 watt mono crystalline solar panels. Save A Lot Solar provides solar designd installation for northern Califor homes. Our workmanship, value and quality surpasses most other northern Califor solar installation companies. History Established in 2008. Since 2008, Save a Lot Solar has installed many residential Solar PV systems. All of our customers are happy with their solar systems and are available as references. Our main goal is customer satisfaction. We have migrated to using Enphase micro inverters, exclusively, since they have the best warranty and are much safer for the customer and their property. We will continue to provide great customer service as we desig solar PV system customized to your locationd requirements. With over 450 installed systems and only 5 star reviews on Yelp and Google, we cassure you that we will install your system i professional manner and with great customer service. Meet the Business Owner Business owner information Photo of John O. John O. Business Owner A NABCEP certified Solar Photo Voltaic System Designer, Installer, C-10 Electrical Contractor, C-46 - Solar Contractor and B-General Contractor licensed by the Califor Contractors State License Board. The license number is 971422.</t>
  </si>
  <si>
    <t>We are active Community Solar developer offering low income families access to solar. We will offer same families low cost storage solutions.</t>
  </si>
  <si>
    <t>There are few Equity areas in our territory so expecting little uptake onthat. But we do expect to handle the medical baseline, Life Support, and customers using electricity to pump water - type SGIP projects. We will not be doing SGIP applications for customers, but using an experienced 3rd party company to do them, which is familiar with our area, PG&amp;E rates, and Sonoma CLean Power - special SGIP program</t>
  </si>
  <si>
    <t>Our valued customers are treated with a complete overview of the solar and/or energy storage system, it's compatability to their home, usability, upkeep, and monitoring. Solar Optimum undertakes the responsibility of obtaining the needed Discharge Data and supplying this to SGIP Administrators promptly so that ALL of our customers are able to receive the SGIP rebate. They sign-off on the precise location of their new solar and/or energy storage systems, so that there are no surprises during installation or after the fact. Our customers are treated with a complete overview of monitoring (either through Enphase or Tesla), so that they are able to successfully track their productiond be up-to-date with their charging/discharging requirements. In that regard, we educate our customers and have them agree/sign-off on the SGIP discharge data requirements so that there is no surprise that these energy storage systems are designed to be charged during off-peak hours, discharged during peak-hours, and offset the necessary/required GhG emissions in order to qualify for the SGIP rebate.</t>
  </si>
  <si>
    <t>Currently we are offering to pay 1 month of electric bill and 2 months of solar payments for new customers. We also are co-hosting a $125,000 home improvement giveaway with some of our business partners.</t>
  </si>
  <si>
    <t>SCEIP loans Low interest Clean Energy Credit Union loans Mosaic loans  these can include zero or low interest loans for 18 months for tax credits  flexible payments terms</t>
  </si>
  <si>
    <t>SolarCraft has been the leading solar and clean energy provider in the SF North bay for more than 35 years. We are 100% employee owned, self-perform our work, and are one of the regions largest locally-based clean energy providers and one of our community's largest green-tech employers. As an employee-owned company, our employees are all partners in the business with a vested financial interest. In this way and many others, we are proud to embrace workplace diversity and promote equality and opportunities for team members from all racial, sexual, religious, nationality, political and personal backgrounds. Thank you for considering SolarCraft for your clean energy project. Through droughts, wildfires, pandemics, and more - our mission remains to build a more sustainable and resilient community by delivering the most valuable clean energy solutions possible. - The SolarCraft team</t>
  </si>
  <si>
    <t>- For the cost of battery systems, we can take the SGIP rebate as payment, not making the pay us then wait to recover their incentive from SGIP - If the customer needs a solar system, we have various no money down financing options with local credit unions, national banks, and PACE financing providers.</t>
  </si>
  <si>
    <t>We are well known for quality work at fair prices without high pressure sales. Our reputation is fastic. I believe we are well positioned to serve this demographic.</t>
  </si>
  <si>
    <t>We are offering an 18 month same as cash so that they can pay the rebate back or We are offering a 12 year 2.99% if they wish to keep the rebate.</t>
  </si>
  <si>
    <t>Solarponics, Inc. is willing to provide in home consultation or Virtual consultation. We are also planning on providing seminars to help educate larger groups.</t>
  </si>
  <si>
    <t>We have always taken educational approach to our sales. We pride ourselves on having the most well educated sales staff in our market. We have wo lot of business through the years by leading with an informative/educational approach rather tha canned sales pitch.</t>
  </si>
  <si>
    <t>We will offer a series of educational webinars on storage, resiliency, storage and how Califor businesses and homeowners can take advage of the SGIP incentive.  We will have a blog post series an informational video series. We will also have a FAQ on our website answering consumers' most oftesked questions.  We have 24-hour customer support on our website with a live person to answer questions. We have a team of experts who are available for consultationd immediate follow up. We will reach out to our network of existing customers whom we have served for many years who are eager to learn more about the SGIP program.</t>
  </si>
  <si>
    <t>As a MBE we feel connected to the underrepresented and undeserved. As a small and disadvage company we take a direct approach to education; we don't have sales teams or large marketing budgets. We try to talk with people if they want to listen; but we don't like our time to be wasted either.</t>
  </si>
  <si>
    <t>We have already provided numerous presetions for community groups that qualify for equity resiliency incentives and have also participated in industry related presetions to support in the development of stard solutions to support these customers. During the COVID situation, we will be hosting webinars and also providing various online resources available. We are also open to collaborating and participating iny/all efforts from the CPUC and others to ensure the proper education takes place for our potential customers and communities to support the adoption of this technology and utilization of the Equity Resiliency incentives.</t>
  </si>
  <si>
    <t>If incentives are provided and a profitable business model is available our company can offer the following services : 1. In-persond online customers consultations including product and program overview 2. Marketing - our company can promote the program on our platforms and to our database 3. Full sales and installation service with our In house teams 4. Financing options and additional services as needed.</t>
  </si>
  <si>
    <t>We have experience in installing back-up power solutions in homes as well as critical medical facilities. We can provide guidance and education on back-up power solutions for both residential and commercial customers.</t>
  </si>
  <si>
    <t>We have been installing battery based and solar energy systems, ond off grid since 2004. NABCEP certified solar installer performs designd field work for solar and battery systems. LG CHEM certified Battery installer. C-10 Electrical Contractor. NABCEP CERT#091110-205</t>
  </si>
  <si>
    <t>We are qualified with several finance companies. We could also reduce or remove any contract deposit requirements for services;</t>
  </si>
  <si>
    <t>Quotes and initial cost saving assessments are available at no cost to the building owner. In some cases, a down payment may be required for preparation of schematic engineering design. Grants, rebates and other incentives are utilized first to bring costs down. PACE loans (and potentially other funding options) are available for project financing. All costs and projected savings are clearly presented and explained prior to signatures.</t>
  </si>
  <si>
    <t>We offer financing to anyone with a credit score of around 650 regardless of income status. We have finace partners that include:  EnerBank USA Wheelhouse Credit Union Sunnova Energy Corporation HERO Program Dividend Solar Ygrene Energy Fund Suge Financial Energy Loan Network Sunlight Financial Service Finance Company, LLC Loal Vivint Solar PPA &amp; Loans Califor Clean Energy</t>
  </si>
  <si>
    <t>GRID Alternatives is a mission-driven, non-profit organization specializing in providing energy technologies, energy savings and job training to low-income communities. GRID will continue to ensure that all of our services and technologies are provided at no cost to our low-income customers, with no upfront financial liability and no payments collected at any time throughout the lifetime of the system. GRID Alternatives is also able to provide financing solutions for non-profit commercial and affordable multifamily housing customers through our trusted partners and our own in-house program related investment funds with terms that vary based on project scope.  GRID has been providing no-cost services for low-income communities in Califor for over 14 years, and has a proven track record of effectively combining state incentives with equipment donations, strategic partnerships, general philanthropy and innovative financing. GRID's funding model for low-income homeowners has proven highly successful through our administration of the Single-Family Affordable Solar Homes (SASH) program, which has resulted in over 9,000 installations in Califor for low-income communities, all at no-cost to the families being served. GRID will guarantee that all of our residential SGIP clients will benefit from GRID's unique funding model by providing fully financed systems with no financial liability, upfront or otherwise, at any time. For more information on GRID's no-cost services and unique funding models, please visit: https://gridalternatives.org/what-we-do/energy-for-all</t>
  </si>
  <si>
    <t>We can provide an interest-free advance of the cost of battery equipment during the period while we wait for battery SGIP to arrive and pay for those costs. Customer will be required to pay for labor and permitting. Soon, we seek to offer special 100% financed for free for entire projects where the costs are lower and the low-income customer need is greatest. Whe project would be offset entirely by SGIP, we would seek to launch a beta with first residential customer who fits the profile for this 100% financed for free program.</t>
  </si>
  <si>
    <t>We offer an excellent financing package that has 0% Interest and No Payment until 2021 (including solar and energy storage installations). This creates the financial flexibility for any homeowner to be able and willing to go green, have a solar system, and include the now essential asset of energy storage system. Solar Optimum also undertakes and completes ALL SGIP Applications, on behalf of ALL of our qualified customers.</t>
  </si>
  <si>
    <t>ST is able to provide bridge funding.  We work with energy storage partner that is able to wait for SGIP rebate payment for the EES costs. ST is able to provide financing as funds are available. We also help Ag clients apply for funding from the USDA and the CEC if funding is available.</t>
  </si>
  <si>
    <t>For low-income residential customers, including those that qualify for Medical and SASH, we are finalizing a financing mechanism to enable these customers to install a system at no-cost to them (for those that the Equity Resiliency amount covers the entire lump-sum contract). This will be internal capital credit line to provide bridge financing on the project's costs for the time it takes to then obtain interconnectiond complete the ICF/payment of SGIP with Swell then listed as the payee. By offering/creating this type of bridge offer with Swell listed as the payee, the customer will not have to qualify for any credit or other financing qualifications aside from ensuring the ICF is assigned to us. This is also very important to consider as it is our understanding that if the payment gets sent to the customer directly from SGIP this is likely treated as taxable income vs. if it comes to us the customer wouldn't be impacted by this possible tax/income issue. If it is is taxable income, for low-income customers, this could cause enormous issues as this may make customers ineligible based o change in their anl income.  We are reviewing this topic with our council at this time but would also be interested in discussing this with the CPUC as well.  For non-residential customers, we are also working o bridge finance offer however this is a bit more complicated due to the 50% upfront/50% 5-year PBI payment.  Additionally, for non-residential, due to the high amount of the deposit this means that we will also have to create a longer term bridge financing to cover this amount. Since the % of the deposit didn't change but the rebate increased substantially this makes these deposits outside of the possibility of many qualifying sites to pay out of pocket which will require the developer or another entity to support with these deposits.</t>
  </si>
  <si>
    <t>Alpha Energy will be working with all residential and commercial clients in providing additional products and services to help clients reduce their energy usage with energy efficiency, new HVACS, LED's , Air Flow, Broilers with our Solar and Battery Storage Solutions. There are many clients that do not have enough rooftop or parking area space to offset their energy usage so we educate our clients with performing a complete "Holistic Energy Assessment" for clients if needed. We are specializing in helping businesses, non-profits, multi-family owners and homeowners prepare for California's Zero Net Energy Mate.</t>
  </si>
  <si>
    <t>Individual consultation without any pressure to purchase. We take a consultative approach that many clients find helpful and tell us is better than they had received from other competitors.</t>
  </si>
  <si>
    <t>Familiar with SGIP Equity Resiliency Requirements (Yes/No/Unknown)</t>
  </si>
  <si>
    <t>Able to serve low-income, medically vulnerable, access and functional needs, tribal, and disadvaged community customers (Yes/No/Unknown)</t>
  </si>
  <si>
    <t>Additional Customer Education and Assistance Available (Yes/No/Unknown)</t>
  </si>
  <si>
    <t>Unknown</t>
  </si>
  <si>
    <t>Firm has Experience with Access and Functional Needs Customers (Yes/No/Unknown)</t>
  </si>
  <si>
    <t>Upfront Financial Assistance Available for Low-Income Customers (Yes/No/Unknown)</t>
  </si>
  <si>
    <t>No Reply</t>
  </si>
  <si>
    <t>Alt. Email</t>
  </si>
  <si>
    <t>Communication Infrastructure Corporation (CIC)</t>
  </si>
  <si>
    <t>Fairfax Solar</t>
  </si>
  <si>
    <t>Secondary License Number</t>
  </si>
  <si>
    <t>Our clients would not be responsible for any upfront costs for the battery systems, unless there is extra work needed such as service panel upgrades. We can self-finance some projects on a limited basis. We are working on fleshing out other opportunities for financing these types of systems.</t>
  </si>
  <si>
    <t>We are well versed in the program requirements and the best way to shape programs to the customers unique needs that benefit the customer more tha one size fits all solution. Hot Purple Energy continues to learn and adapt to the changing market and technologies.</t>
  </si>
  <si>
    <t>Alt. Email 2</t>
  </si>
  <si>
    <t>RHA is available to perform customer educatio About ESA and SJV DAC to support leveraging of these programs.</t>
  </si>
  <si>
    <t>We operate several retail showrooms; as soon they are allowed to safely reopen we will be educating our customers about the availability of the equity resiliency funds.</t>
  </si>
  <si>
    <t>We work with many seniors and are aware of their specific needs. As a note, our contractor license is 1043956 - this survey would only allow us to enter 6 digits, so I just entered the first 6 digits to be able to proceed. Thanks.We work in Sutter, Placer and Butte county mostly with storage systems. We have installed hundreds of batteries for homeowners and offer many different brands as well.</t>
  </si>
  <si>
    <t>www.sustech.cc</t>
  </si>
  <si>
    <t>We install solar and battery backups to residential homes. We have locations in both Northern and Southern California We are certified Tesla Powerwall 2 installers. We are currently servicing many of the high fire threat areas with our stard solar installations. This means that we are already familiar with the permitting and installation requirements in these areas which will lead to speedier installations and approvals. We have been installing storage and storage + solar systems consistently for the last few years and increasing this each day as the demand grows.</t>
  </si>
  <si>
    <t xml:space="preserve">Wesley Hodges General Contractor (Part owner of Six Rivers Solar) </t>
  </si>
  <si>
    <t>Synergistic Energy Services, Inc.</t>
  </si>
  <si>
    <t>https://www.buildzoom.com/contractor/synergistic-energy-services-inc</t>
  </si>
  <si>
    <t>https://www.solarprosinc.com/</t>
  </si>
  <si>
    <t>Cinnamon Energy Systems</t>
  </si>
  <si>
    <t>California State Development</t>
  </si>
  <si>
    <t>Blue Sky Energy</t>
  </si>
  <si>
    <t>Aeterna Energy</t>
  </si>
  <si>
    <t>SunRun</t>
  </si>
  <si>
    <t>https://www.sunrun.com/</t>
  </si>
  <si>
    <t>Alameda</t>
  </si>
  <si>
    <t>Alpine</t>
  </si>
  <si>
    <t>Amador</t>
  </si>
  <si>
    <t>Butte</t>
  </si>
  <si>
    <t>Calaveras</t>
  </si>
  <si>
    <t>El Dorado</t>
  </si>
  <si>
    <t>Fresno</t>
  </si>
  <si>
    <t>Glenn</t>
  </si>
  <si>
    <t>Colusa</t>
  </si>
  <si>
    <t>Contra Costa</t>
  </si>
  <si>
    <t>Humboldt</t>
  </si>
  <si>
    <t>Imperial</t>
  </si>
  <si>
    <t>Inyo</t>
  </si>
  <si>
    <t>Kern</t>
  </si>
  <si>
    <t>Kings</t>
  </si>
  <si>
    <t>Lake</t>
  </si>
  <si>
    <t>Madera</t>
  </si>
  <si>
    <t>Mariposa</t>
  </si>
  <si>
    <t>Mendocino</t>
  </si>
  <si>
    <t>Merced</t>
  </si>
  <si>
    <t>Mono</t>
  </si>
  <si>
    <t>Monterey</t>
  </si>
  <si>
    <t>Napa</t>
  </si>
  <si>
    <t>Nevada</t>
  </si>
  <si>
    <t>Orange</t>
  </si>
  <si>
    <t>Placer</t>
  </si>
  <si>
    <t>Plumas</t>
  </si>
  <si>
    <t>Riverside</t>
  </si>
  <si>
    <t>San Bernardino</t>
  </si>
  <si>
    <t>San Diego</t>
  </si>
  <si>
    <t>San Francisco</t>
  </si>
  <si>
    <t>San Joaquin</t>
  </si>
  <si>
    <t>San Mateo</t>
  </si>
  <si>
    <t>San Luis Obispo</t>
  </si>
  <si>
    <t>Santa Barbara</t>
  </si>
  <si>
    <t>Santa Clara</t>
  </si>
  <si>
    <t>Santa Cruz</t>
  </si>
  <si>
    <t>Sacramento</t>
  </si>
  <si>
    <t>Shasta</t>
  </si>
  <si>
    <t>Sierra</t>
  </si>
  <si>
    <t>Siskiyou</t>
  </si>
  <si>
    <t>Solano</t>
  </si>
  <si>
    <t>Sonoma</t>
  </si>
  <si>
    <t>Stanislaus</t>
  </si>
  <si>
    <t>Sutter</t>
  </si>
  <si>
    <t>Tehama</t>
  </si>
  <si>
    <t>Trinity</t>
  </si>
  <si>
    <t>Tulare</t>
  </si>
  <si>
    <t>Tuolumne</t>
  </si>
  <si>
    <t>Ventura</t>
  </si>
  <si>
    <t>Yolo</t>
  </si>
  <si>
    <t>Yuba</t>
  </si>
  <si>
    <t>Lassen</t>
  </si>
  <si>
    <t>Los Angeles</t>
  </si>
  <si>
    <t>San Benito</t>
  </si>
  <si>
    <t>Del Norte</t>
  </si>
  <si>
    <t>Modoc</t>
  </si>
  <si>
    <t>SonoMandarin Solar &amp; Electric</t>
  </si>
  <si>
    <t>Mixtec</t>
  </si>
  <si>
    <t>Alpha Energy Management, Inc.</t>
  </si>
  <si>
    <t>Ameresco's solar division specializes in battery based solar electric power systems. We specialize in battery back up systems for critical loads. Single phase or 3-phase power systems. Simple to very complex. Lithium and advanced lead acid technologies. 20+ years experience living with and installing battery based solar electric systems in California.</t>
  </si>
  <si>
    <t>English</t>
  </si>
  <si>
    <t>Column1</t>
  </si>
  <si>
    <t>Column2</t>
  </si>
  <si>
    <t>Customer Type Served3</t>
  </si>
  <si>
    <t>Customer Type Served4</t>
  </si>
  <si>
    <t>SunPower by Quality Home Services</t>
  </si>
  <si>
    <t>SunPower by Hooked On Solar</t>
  </si>
  <si>
    <t>Languages Spoken</t>
  </si>
  <si>
    <t>Company Email</t>
  </si>
  <si>
    <t>alt email</t>
  </si>
  <si>
    <t>alt email 2</t>
  </si>
  <si>
    <t>company phone</t>
  </si>
  <si>
    <t>Customer Type Served2</t>
  </si>
  <si>
    <t>Column 1</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</si>
  <si>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</si>
  <si>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</si>
  <si>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</si>
  <si>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</si>
  <si>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</si>
  <si>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</si>
  <si>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</si>
  <si>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</si>
  <si>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</si>
  <si>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</si>
  <si>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</si>
  <si>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</si>
  <si>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</si>
  <si>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</si>
  <si>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</si>
  <si>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</si>
  <si>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</si>
  <si>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</si>
  <si>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</si>
  <si>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</si>
  <si>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</si>
  <si>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</si>
  <si>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</si>
  <si>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</si>
  <si>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</si>
  <si>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</si>
  <si>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</si>
  <si>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</si>
  <si>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</si>
  <si>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</si>
  <si>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Merged Counties</t>
  </si>
  <si>
    <t>Concatenated Languages</t>
  </si>
  <si>
    <t>www.a1c.co</t>
  </si>
  <si>
    <t>www.vectorgpm.com</t>
  </si>
  <si>
    <t>www.voltageriver.com</t>
  </si>
  <si>
    <t>www.w3solar.com</t>
  </si>
  <si>
    <t>www.sixriverssolar.com</t>
  </si>
  <si>
    <t>www.westcoastsolar.com</t>
  </si>
  <si>
    <t>www.westhavensolar.com</t>
  </si>
  <si>
    <t>www.yourenergysolutions.com</t>
  </si>
  <si>
    <t>www.1stchoicedevelopment.com</t>
  </si>
  <si>
    <t>www.3fficient.com</t>
  </si>
  <si>
    <t>https://www.albionpower.com</t>
  </si>
  <si>
    <t>http://www.alphaenergyinc.com/</t>
  </si>
  <si>
    <t>www.AWS-Solar.com</t>
  </si>
  <si>
    <t>www.bnbsolar.com</t>
  </si>
  <si>
    <t>www.Bergersolarelectric.com</t>
  </si>
  <si>
    <t>www.bluepwnp.com</t>
  </si>
  <si>
    <t>www.wakeupthesun.com</t>
  </si>
  <si>
    <t>www.centricabusinesssolutions.com</t>
  </si>
  <si>
    <t>https://cinnamon.energy/</t>
  </si>
  <si>
    <t>https://californiasolarelectric.com/</t>
  </si>
  <si>
    <t>www.climatesolarnow.com</t>
  </si>
  <si>
    <t>www.limatec.com</t>
  </si>
  <si>
    <t>www.cobaltpower.com</t>
  </si>
  <si>
    <t>www.coolearthsolar.com</t>
  </si>
  <si>
    <t>https://dcsolarelectric.com/</t>
  </si>
  <si>
    <t>www.Enable-Energy.com</t>
  </si>
  <si>
    <t>www.energyinsol.com</t>
  </si>
  <si>
    <t>www.gogreensolar.com</t>
  </si>
  <si>
    <t>www.gomicrogrid.com</t>
  </si>
  <si>
    <t>www.Goldrushenergy.com</t>
  </si>
  <si>
    <t>www.Goldenstatepower.com</t>
  </si>
  <si>
    <t>www.goldstatesolar.com</t>
  </si>
  <si>
    <t>www.GuastiSolar.com</t>
  </si>
  <si>
    <t>https://www.horizonsolarpower.com/</t>
  </si>
  <si>
    <t>www.vitalenergysolar.com</t>
  </si>
  <si>
    <t>www.kleinpowerelectric.com</t>
  </si>
  <si>
    <t>www.kotaenergygroup.com</t>
  </si>
  <si>
    <t>www.LEDPowerSaver.com</t>
  </si>
  <si>
    <t>www.LetsGetSolar.com</t>
  </si>
  <si>
    <t>www.llumetec.com</t>
  </si>
  <si>
    <t>www.gardnerenergy.com</t>
  </si>
  <si>
    <t>www.meirenewables.com</t>
  </si>
  <si>
    <t>https://meirenewables.com/</t>
  </si>
  <si>
    <t>www.modernizeconstruction.com</t>
  </si>
  <si>
    <t>www.NexGenConstruction.com</t>
  </si>
  <si>
    <t>www.northstatesolarenergy.com</t>
  </si>
  <si>
    <t>www.northercificpower.com</t>
  </si>
  <si>
    <t>www.oxypower.com</t>
  </si>
  <si>
    <t>www.OptionOneSolar.com</t>
  </si>
  <si>
    <t>www.pacificwestinc.com</t>
  </si>
  <si>
    <t>www.palomarsolar.com</t>
  </si>
  <si>
    <t>www.qualityhomeservices.com</t>
  </si>
  <si>
    <t>www.purepowersolutions.com</t>
  </si>
  <si>
    <t>www.sagerenew.com</t>
  </si>
  <si>
    <t>www.sandiegocountysolar.com</t>
  </si>
  <si>
    <t>https://www.scurfieldsolar.com/</t>
  </si>
  <si>
    <t>www.skellyelectric.com</t>
  </si>
  <si>
    <t>www.skrsolar.com</t>
  </si>
  <si>
    <t>www.slingshotpower.com</t>
  </si>
  <si>
    <t>www.solargem.org</t>
  </si>
  <si>
    <t>www.Stada-Energy.com</t>
  </si>
  <si>
    <t>www.stellarsolar.net</t>
  </si>
  <si>
    <t>www.Stem.com</t>
  </si>
  <si>
    <t>www.suncenergysolutions.com</t>
  </si>
  <si>
    <t>www.sungenix.com</t>
  </si>
  <si>
    <t>www.Sunpowerca.com</t>
  </si>
  <si>
    <t>www.SunStorSolar.com</t>
  </si>
  <si>
    <t>https://www.sunstreet.com/home</t>
  </si>
  <si>
    <t>www.sunworksusa.com</t>
  </si>
  <si>
    <t>www.seg.energy.com</t>
  </si>
  <si>
    <t>www.SymmetricEnergy.com</t>
  </si>
  <si>
    <t>www.synsolar.com</t>
  </si>
  <si>
    <t>https://treeium.com/</t>
  </si>
  <si>
    <t>Residential</t>
  </si>
  <si>
    <t>Non-Residential</t>
  </si>
  <si>
    <t>Concatenated Customer Type</t>
  </si>
  <si>
    <t>Single-Family Homes</t>
  </si>
  <si>
    <t>Multifamily Home Properties</t>
  </si>
  <si>
    <t>Concatenated Home Type</t>
  </si>
  <si>
    <t>Building  Type</t>
  </si>
  <si>
    <t>Housing Type</t>
  </si>
  <si>
    <t>Resident Type</t>
  </si>
  <si>
    <t>M. N. Mauzy Mechanical Inc.</t>
  </si>
  <si>
    <t>Merged Installers</t>
  </si>
  <si>
    <t>Installer Lookup</t>
  </si>
  <si>
    <t>Select Your County Using the Drop Down Arrow In the Cell Below</t>
  </si>
  <si>
    <t>Select an Installer Using the Drop Down Arrow In the Cell Below</t>
  </si>
  <si>
    <t>Search By Installer</t>
  </si>
  <si>
    <t>Search by County</t>
  </si>
  <si>
    <t>Click the "Enable Editing" Button Above to Get Started (if shown) ↑</t>
  </si>
  <si>
    <t>(Please note that the CPUC does not endorse or recommend any of these installers. 
The tool includes information collected through a voluntary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</si>
</sst>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7" x14ac:knownFonts="1">
    <font>
      <sz val="11"/>
      <color theme="1"/>
      <name val="Calibri"/>
      <family val="2"/>
      <scheme val="minor"/>
    </font>
    <font>
      <u/>
      <sz val="11"/>
      <color theme="10"/>
      <name val="Calibri"/>
      <family val="2"/>
      <scheme val="minor"/>
    </font>
    <font>
      <b/>
      <sz val="11"/>
      <color theme="1"/>
      <name val="Calibri"/>
      <family val="2"/>
      <scheme val="minor"/>
    </font>
    <font>
      <b/>
      <sz val="11"/>
      <color rgb="FF333333"/>
      <name val="Arial"/>
      <family val="2"/>
    </font>
    <font>
      <sz val="11"/>
      <color theme="1"/>
      <name val="Calibri"/>
      <family val="2"/>
    </font>
    <font>
      <sz val="8"/>
      <name val="Calibri"/>
      <family val="2"/>
      <scheme val="minor"/>
    </font>
    <font>
      <b/>
      <sz val="11"/>
      <color theme="1"/>
      <name val="Times New Roman"/>
      <family val="1"/>
    </font>
    <font>
      <sz val="14"/>
      <color theme="1"/>
      <name val="Calibri"/>
      <family val="2"/>
      <scheme val="minor"/>
    </font>
    <font>
      <b/>
      <sz val="12"/>
      <color theme="1"/>
      <name val="Arial"/>
      <family val="2"/>
    </font>
    <font>
      <b/>
      <sz val="12"/>
      <color rgb="FF333333"/>
      <name val="Arial"/>
      <family val="2"/>
    </font>
    <font>
      <sz val="11"/>
      <color rgb="FF333333"/>
      <name val="Arial"/>
      <family val="2"/>
    </font>
    <font>
      <sz val="9"/>
      <color indexed="81"/>
      <name val="Tahoma"/>
      <family val="2"/>
    </font>
    <font>
      <b/>
      <sz val="9"/>
      <color indexed="81"/>
      <name val="Tahoma"/>
      <family val="2"/>
    </font>
    <font>
      <b/>
      <u/>
      <sz val="12"/>
      <color theme="1"/>
      <name val="Times New Roman"/>
      <family val="1"/>
    </font>
    <font>
      <b/>
      <sz val="16"/>
      <color theme="1"/>
      <name val="Arial"/>
      <family val="2"/>
    </font>
    <font>
      <b/>
      <sz val="14"/>
      <color theme="1"/>
      <name val="Arial"/>
      <family val="2"/>
    </font>
    <font>
      <b/>
      <sz val="10"/>
      <color theme="1"/>
      <name val="Arial"/>
      <family val="2"/>
    </font>
  </fonts>
  <fills count="6">
    <fill>
      <patternFill patternType="none"/>
    </fill>
    <fill>
      <patternFill patternType="gray125"/>
    </fill>
    <fill>
      <patternFill patternType="solid">
        <fgColor theme="6" tint="0.79998168889431442"/>
        <bgColor theme="6"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s>
  <borders count="29">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top/>
      <bottom style="thin">
        <color rgb="FFA6A6A6"/>
      </bottom>
      <diagonal/>
    </border>
    <border>
      <left/>
      <right/>
      <top/>
      <bottom style="thin">
        <color rgb="FFA6A6A6"/>
      </bottom>
      <diagonal/>
    </border>
    <border>
      <left style="thin">
        <color rgb="FFA6A6A6"/>
      </left>
      <right style="thin">
        <color theme="7"/>
      </right>
      <top style="thin">
        <color rgb="FFA6A6A6"/>
      </top>
      <bottom style="thin">
        <color rgb="FFA6A6A6"/>
      </bottom>
      <diagonal/>
    </border>
    <border>
      <left style="thick">
        <color rgb="FFFF0000"/>
      </left>
      <right style="thick">
        <color rgb="FFFF0000"/>
      </right>
      <top style="thick">
        <color rgb="FFFF0000"/>
      </top>
      <bottom style="thick">
        <color rgb="FFFF0000"/>
      </bottom>
      <diagonal/>
    </border>
    <border>
      <left style="thick">
        <color rgb="FF0070C0"/>
      </left>
      <right style="thick">
        <color rgb="FF0070C0"/>
      </right>
      <top style="thick">
        <color rgb="FF0070C0"/>
      </top>
      <bottom/>
      <diagonal/>
    </border>
    <border>
      <left style="thick">
        <color rgb="FF0070C0"/>
      </left>
      <right/>
      <top style="thick">
        <color rgb="FF0070C0"/>
      </top>
      <bottom style="hair">
        <color rgb="FF0070C0"/>
      </bottom>
      <diagonal/>
    </border>
    <border>
      <left style="thick">
        <color rgb="FF0070C0"/>
      </left>
      <right/>
      <top style="hair">
        <color rgb="FF0070C0"/>
      </top>
      <bottom style="hair">
        <color rgb="FF0070C0"/>
      </bottom>
      <diagonal/>
    </border>
    <border>
      <left style="thick">
        <color rgb="FF0070C0"/>
      </left>
      <right/>
      <top style="hair">
        <color rgb="FF0070C0"/>
      </top>
      <bottom style="thick">
        <color rgb="FF0070C0"/>
      </bottom>
      <diagonal/>
    </border>
    <border>
      <left style="medium">
        <color rgb="FFFF0000"/>
      </left>
      <right style="thick">
        <color rgb="FFFF0000"/>
      </right>
      <top style="thick">
        <color rgb="FFFF0000"/>
      </top>
      <bottom style="hair">
        <color rgb="FFFF0000"/>
      </bottom>
      <diagonal/>
    </border>
    <border>
      <left style="medium">
        <color rgb="FFFF0000"/>
      </left>
      <right style="thick">
        <color rgb="FFFF0000"/>
      </right>
      <top style="hair">
        <color rgb="FFFF0000"/>
      </top>
      <bottom style="hair">
        <color rgb="FFFF0000"/>
      </bottom>
      <diagonal/>
    </border>
    <border>
      <left style="medium">
        <color rgb="FFFF0000"/>
      </left>
      <right style="thick">
        <color rgb="FFFF0000"/>
      </right>
      <top style="hair">
        <color rgb="FFFF0000"/>
      </top>
      <bottom style="thick">
        <color rgb="FFFF0000"/>
      </bottom>
      <diagonal/>
    </border>
    <border>
      <left/>
      <right/>
      <top style="thin">
        <color rgb="FFA6A6A6"/>
      </top>
      <bottom/>
      <diagonal/>
    </border>
    <border>
      <left style="thin">
        <color theme="6"/>
      </left>
      <right style="thin">
        <color theme="6"/>
      </right>
      <top style="thin">
        <color theme="6"/>
      </top>
      <bottom style="thin">
        <color theme="6"/>
      </bottom>
      <diagonal/>
    </border>
    <border>
      <left style="thin">
        <color rgb="FFA6A6A6"/>
      </left>
      <right/>
      <top style="thin">
        <color rgb="FFA6A6A6"/>
      </top>
      <bottom/>
      <diagonal/>
    </border>
    <border>
      <left style="thin">
        <color theme="6"/>
      </left>
      <right/>
      <top style="thin">
        <color rgb="FFA6A6A6"/>
      </top>
      <bottom/>
      <diagonal/>
    </border>
    <border>
      <left style="thin">
        <color theme="6"/>
      </left>
      <right style="thin">
        <color theme="6"/>
      </right>
      <top style="thin">
        <color rgb="FFA6A6A6"/>
      </top>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rgb="FF00B050"/>
      </left>
      <right style="thick">
        <color rgb="FF00B050"/>
      </right>
      <top style="thick">
        <color rgb="FF00B050"/>
      </top>
      <bottom style="thick">
        <color rgb="FF00B050"/>
      </bottom>
      <diagonal/>
    </border>
    <border>
      <left style="thick">
        <color theme="2" tint="-0.749961851863155"/>
      </left>
      <right style="thick">
        <color theme="2" tint="-0.749961851863155"/>
      </right>
      <top style="thick">
        <color theme="2" tint="-0.749961851863155"/>
      </top>
      <bottom style="thick">
        <color theme="2" tint="-0.749961851863155"/>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Fill="1" applyAlignment="1">
      <alignment wrapText="1"/>
    </xf>
    <xf numFmtId="0" fontId="0" fillId="0" borderId="0" xfId="0" applyFill="1"/>
    <xf numFmtId="164" fontId="0" fillId="0" borderId="0" xfId="0" applyNumberFormat="1" applyFill="1" applyAlignment="1"/>
    <xf numFmtId="164" fontId="0" fillId="0" borderId="0" xfId="0" applyNumberFormat="1" applyFill="1" applyAlignment="1">
      <alignment wrapText="1"/>
    </xf>
    <xf numFmtId="0" fontId="1" fillId="0" borderId="0" xfId="1" applyFill="1"/>
    <xf numFmtId="0" fontId="3" fillId="0" borderId="1" xfId="0" applyFont="1" applyFill="1" applyBorder="1" applyAlignment="1">
      <alignment wrapText="1"/>
    </xf>
    <xf numFmtId="0" fontId="3" fillId="0" borderId="1" xfId="0" applyFont="1" applyFill="1" applyBorder="1"/>
    <xf numFmtId="164" fontId="3" fillId="0" borderId="1" xfId="0" applyNumberFormat="1" applyFont="1" applyFill="1" applyBorder="1" applyAlignment="1">
      <alignment wrapText="1"/>
    </xf>
    <xf numFmtId="0" fontId="0" fillId="0" borderId="0" xfId="0" applyFont="1" applyFill="1" applyAlignment="1">
      <alignment wrapText="1"/>
    </xf>
    <xf numFmtId="0" fontId="0" fillId="0" borderId="0" xfId="0" applyFont="1" applyFill="1"/>
    <xf numFmtId="164" fontId="0" fillId="0" borderId="0" xfId="0" applyNumberFormat="1" applyFont="1" applyFill="1" applyAlignment="1"/>
    <xf numFmtId="164" fontId="0" fillId="0" borderId="0" xfId="0" applyNumberFormat="1" applyFont="1" applyFill="1" applyAlignment="1">
      <alignment wrapText="1"/>
    </xf>
    <xf numFmtId="0" fontId="3" fillId="0" borderId="2" xfId="0" applyFont="1" applyFill="1" applyBorder="1" applyAlignment="1">
      <alignment wrapText="1"/>
    </xf>
    <xf numFmtId="0" fontId="0" fillId="0" borderId="3" xfId="0" applyFill="1" applyBorder="1" applyAlignment="1">
      <alignment wrapText="1"/>
    </xf>
    <xf numFmtId="0" fontId="3" fillId="0" borderId="4" xfId="0" applyFont="1" applyFill="1" applyBorder="1" applyAlignment="1">
      <alignment wrapText="1"/>
    </xf>
    <xf numFmtId="0" fontId="3" fillId="0" borderId="5" xfId="0" applyFont="1" applyFill="1" applyBorder="1" applyAlignment="1">
      <alignment horizontal="center"/>
    </xf>
    <xf numFmtId="0" fontId="2" fillId="0" borderId="6" xfId="0" applyFont="1" applyFill="1" applyBorder="1" applyAlignment="1">
      <alignment horizontal="center"/>
    </xf>
    <xf numFmtId="0" fontId="0" fillId="0" borderId="6" xfId="0" applyBorder="1" applyAlignment="1">
      <alignment horizontal="center"/>
    </xf>
    <xf numFmtId="0" fontId="3" fillId="0" borderId="2" xfId="0" applyFont="1" applyFill="1" applyBorder="1" applyAlignment="1">
      <alignment wrapText="1"/>
    </xf>
    <xf numFmtId="0" fontId="0" fillId="0" borderId="3" xfId="0" applyFill="1" applyBorder="1" applyAlignment="1">
      <alignment wrapText="1"/>
    </xf>
    <xf numFmtId="0" fontId="3" fillId="0" borderId="5" xfId="0" applyFont="1" applyFill="1" applyBorder="1" applyAlignment="1">
      <alignment wrapText="1"/>
    </xf>
    <xf numFmtId="0" fontId="2" fillId="0" borderId="3" xfId="0" applyFont="1" applyFill="1" applyBorder="1" applyAlignment="1">
      <alignment wrapText="1"/>
    </xf>
    <xf numFmtId="0" fontId="3" fillId="0" borderId="7" xfId="0" applyFont="1" applyBorder="1" applyAlignment="1">
      <alignment wrapText="1"/>
    </xf>
    <xf numFmtId="0" fontId="6" fillId="0" borderId="0" xfId="0" applyFont="1" applyFill="1" applyBorder="1"/>
    <xf numFmtId="0" fontId="3" fillId="0" borderId="18" xfId="0" applyFont="1" applyBorder="1" applyAlignment="1">
      <alignment wrapText="1"/>
    </xf>
    <xf numFmtId="0" fontId="3"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2" borderId="19" xfId="0" applyFont="1" applyFill="1" applyBorder="1" applyAlignment="1">
      <alignment wrapText="1"/>
    </xf>
    <xf numFmtId="0" fontId="0" fillId="0" borderId="21" xfId="0" applyFont="1" applyBorder="1" applyAlignment="1">
      <alignment wrapText="1"/>
    </xf>
    <xf numFmtId="0" fontId="0" fillId="0" borderId="21" xfId="0" applyFont="1" applyBorder="1"/>
    <xf numFmtId="0" fontId="0" fillId="0" borderId="22" xfId="0" applyFont="1" applyBorder="1"/>
    <xf numFmtId="0" fontId="0" fillId="2" borderId="21" xfId="0" applyFont="1" applyFill="1" applyBorder="1" applyAlignment="1">
      <alignment wrapText="1"/>
    </xf>
    <xf numFmtId="0" fontId="0" fillId="2" borderId="21" xfId="0" applyFont="1" applyFill="1" applyBorder="1"/>
    <xf numFmtId="0" fontId="0" fillId="2" borderId="22" xfId="0" applyFont="1" applyFill="1" applyBorder="1"/>
    <xf numFmtId="0" fontId="0" fillId="0" borderId="23" xfId="0" applyFont="1" applyBorder="1"/>
    <xf numFmtId="0" fontId="0" fillId="0" borderId="17" xfId="0" applyFont="1" applyBorder="1"/>
    <xf numFmtId="0" fontId="0" fillId="0" borderId="21" xfId="0" applyFont="1" applyFill="1" applyBorder="1" applyAlignment="1">
      <alignment wrapText="1"/>
    </xf>
    <xf numFmtId="0" fontId="0" fillId="0" borderId="21" xfId="0" applyFont="1" applyFill="1" applyBorder="1"/>
    <xf numFmtId="0" fontId="0" fillId="0" borderId="22" xfId="0" applyFont="1" applyFill="1" applyBorder="1"/>
    <xf numFmtId="0" fontId="2" fillId="2" borderId="19" xfId="0" applyFont="1" applyFill="1" applyBorder="1" applyAlignment="1">
      <alignment wrapText="1"/>
    </xf>
    <xf numFmtId="0" fontId="2" fillId="0" borderId="21" xfId="0" applyFont="1" applyBorder="1" applyAlignment="1">
      <alignment wrapText="1"/>
    </xf>
    <xf numFmtId="0" fontId="2" fillId="2" borderId="21" xfId="0" applyFont="1" applyFill="1" applyBorder="1" applyAlignment="1">
      <alignment wrapText="1"/>
    </xf>
    <xf numFmtId="0" fontId="2" fillId="0" borderId="21" xfId="0" applyFont="1" applyFill="1" applyBorder="1" applyAlignment="1">
      <alignment wrapText="1"/>
    </xf>
    <xf numFmtId="0" fontId="2" fillId="0" borderId="23" xfId="0" applyFont="1" applyBorder="1" applyAlignment="1">
      <alignment wrapText="1"/>
    </xf>
    <xf numFmtId="0" fontId="2" fillId="0" borderId="0" xfId="0" applyFont="1" applyFill="1"/>
    <xf numFmtId="0" fontId="3" fillId="0" borderId="16" xfId="0" applyFont="1" applyBorder="1" applyAlignment="1">
      <alignment wrapText="1"/>
    </xf>
    <xf numFmtId="0" fontId="10" fillId="0" borderId="16" xfId="0" applyFont="1" applyBorder="1" applyAlignment="1">
      <alignment horizontal="left" wrapText="1"/>
    </xf>
    <xf numFmtId="0" fontId="7" fillId="0" borderId="2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164" fontId="7" fillId="0" borderId="14" xfId="0" applyNumberFormat="1" applyFont="1" applyFill="1" applyBorder="1" applyAlignment="1">
      <alignment horizontal="left" vertical="top" wrapText="1"/>
    </xf>
    <xf numFmtId="0" fontId="7" fillId="0" borderId="15" xfId="0" applyFont="1" applyFill="1" applyBorder="1" applyAlignment="1">
      <alignment horizontal="left" vertical="top" wrapText="1"/>
    </xf>
    <xf numFmtId="0" fontId="9" fillId="3" borderId="10" xfId="0" applyFont="1" applyFill="1" applyBorder="1"/>
    <xf numFmtId="0" fontId="9" fillId="3" borderId="11" xfId="0" applyFont="1" applyFill="1" applyBorder="1"/>
    <xf numFmtId="164" fontId="9" fillId="3" borderId="11" xfId="0" applyNumberFormat="1"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7" fillId="0" borderId="13" xfId="0" applyFont="1" applyFill="1" applyBorder="1" applyAlignment="1" applyProtection="1">
      <alignment horizontal="left" vertical="top" wrapText="1"/>
      <protection locked="0" hidden="1"/>
    </xf>
    <xf numFmtId="0" fontId="7" fillId="0" borderId="14" xfId="0" applyFont="1" applyFill="1" applyBorder="1" applyAlignment="1" applyProtection="1">
      <alignment horizontal="left" vertical="top" wrapText="1"/>
      <protection locked="0" hidden="1"/>
    </xf>
    <xf numFmtId="164" fontId="7" fillId="0" borderId="14" xfId="0" applyNumberFormat="1" applyFont="1" applyFill="1" applyBorder="1" applyAlignment="1" applyProtection="1">
      <alignment horizontal="left" vertical="top" wrapText="1"/>
      <protection locked="0" hidden="1"/>
    </xf>
    <xf numFmtId="0" fontId="7" fillId="0" borderId="15" xfId="0" applyFont="1" applyFill="1" applyBorder="1" applyAlignment="1" applyProtection="1">
      <alignment horizontal="left" vertical="top" wrapText="1"/>
      <protection locked="0" hidden="1"/>
    </xf>
    <xf numFmtId="0" fontId="13" fillId="3" borderId="9" xfId="0" applyFont="1" applyFill="1" applyBorder="1" applyAlignment="1">
      <alignment wrapText="1"/>
    </xf>
    <xf numFmtId="0" fontId="0" fillId="4" borderId="0" xfId="0" applyFill="1" applyBorder="1"/>
    <xf numFmtId="164" fontId="0" fillId="4" borderId="0" xfId="0" applyNumberFormat="1" applyFill="1" applyBorder="1"/>
    <xf numFmtId="0" fontId="0" fillId="4" borderId="0" xfId="0" applyFill="1" applyBorder="1" applyAlignment="1">
      <alignment wrapText="1"/>
    </xf>
    <xf numFmtId="0" fontId="6" fillId="4" borderId="0" xfId="0" applyFont="1" applyFill="1" applyBorder="1"/>
    <xf numFmtId="0" fontId="7" fillId="4" borderId="0" xfId="0" applyFont="1" applyFill="1" applyBorder="1" applyAlignment="1">
      <alignment horizontal="left" wrapText="1"/>
    </xf>
    <xf numFmtId="0" fontId="0" fillId="5" borderId="0" xfId="0" applyFill="1" applyBorder="1"/>
    <xf numFmtId="0" fontId="9" fillId="5" borderId="0" xfId="0" applyFont="1" applyFill="1" applyBorder="1" applyAlignment="1">
      <alignment wrapText="1"/>
    </xf>
    <xf numFmtId="0" fontId="7" fillId="5" borderId="0" xfId="0" applyFont="1" applyFill="1" applyBorder="1" applyAlignment="1">
      <alignment horizontal="left" vertical="top" wrapText="1"/>
    </xf>
    <xf numFmtId="164" fontId="0" fillId="5" borderId="0" xfId="0" applyNumberFormat="1" applyFill="1" applyBorder="1"/>
    <xf numFmtId="0" fontId="0" fillId="5" borderId="0" xfId="0" applyFill="1" applyBorder="1" applyAlignment="1">
      <alignment wrapText="1"/>
    </xf>
    <xf numFmtId="0" fontId="6" fillId="5" borderId="0" xfId="0" applyFont="1" applyFill="1" applyBorder="1"/>
    <xf numFmtId="0" fontId="7" fillId="5" borderId="0" xfId="0" applyFont="1" applyFill="1" applyBorder="1" applyAlignment="1">
      <alignment horizontal="left" wrapText="1"/>
    </xf>
    <xf numFmtId="0" fontId="14" fillId="5" borderId="27" xfId="0" applyFont="1" applyFill="1" applyBorder="1" applyAlignment="1">
      <alignment horizontal="center"/>
    </xf>
    <xf numFmtId="0" fontId="15" fillId="4" borderId="28" xfId="0" applyFont="1" applyFill="1" applyBorder="1" applyAlignment="1">
      <alignment horizontal="center"/>
    </xf>
    <xf numFmtId="0" fontId="9" fillId="3" borderId="10" xfId="0" applyFont="1" applyFill="1" applyBorder="1" applyAlignment="1">
      <alignment horizontal="center" vertical="top"/>
    </xf>
    <xf numFmtId="0" fontId="9" fillId="3" borderId="11" xfId="0" applyFont="1" applyFill="1" applyBorder="1" applyAlignment="1">
      <alignment horizontal="center" vertical="top"/>
    </xf>
    <xf numFmtId="164" fontId="9" fillId="3" borderId="11" xfId="0" applyNumberFormat="1"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2" xfId="0" applyFont="1" applyFill="1" applyBorder="1" applyAlignment="1">
      <alignment horizontal="center" vertical="top" wrapText="1"/>
    </xf>
    <xf numFmtId="0" fontId="8" fillId="0" borderId="8" xfId="0" applyFont="1" applyFill="1" applyBorder="1" applyAlignment="1">
      <alignment horizontal="center"/>
    </xf>
    <xf numFmtId="0" fontId="16" fillId="5" borderId="27" xfId="0" applyFont="1" applyFill="1" applyBorder="1" applyAlignment="1">
      <alignment horizontal="center" wrapText="1"/>
    </xf>
    <xf numFmtId="0" fontId="16" fillId="4" borderId="28" xfId="0" applyFont="1" applyFill="1" applyBorder="1" applyAlignment="1">
      <alignment horizontal="center" wrapText="1"/>
    </xf>
  </cellXfs>
  <cellStyles count="2">
    <cellStyle name="Hyperlink" xfId="1" builtinId="8"/>
    <cellStyle name="Normal" xfId="0" builtinId="0"/>
  </cellStyles>
  <dxfs count="158">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dxf>
    <dxf>
      <border outline="0">
        <bottom style="thin">
          <color rgb="FFA6A6A6"/>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dxf>
    <dxf>
      <border outline="0">
        <bottom style="thin">
          <color rgb="FFA6A6A6"/>
        </bottom>
      </border>
    </dxf>
    <dxf>
      <alignment horizontal="center" vertical="bottom"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alignment horizontal="general" vertical="bottom" textRotation="0" wrapText="1" indent="0" justifyLastLine="0" shrinkToFit="0" readingOrder="0"/>
    </dxf>
    <dxf>
      <border outline="0">
        <bottom style="thin">
          <color rgb="FFA6A6A6"/>
        </bottom>
      </border>
    </dxf>
    <dxf>
      <font>
        <b/>
        <i val="0"/>
        <strike val="0"/>
        <condense val="0"/>
        <extend val="0"/>
        <outline val="0"/>
        <shadow val="0"/>
        <u val="none"/>
        <vertAlign val="baseline"/>
        <sz val="11"/>
        <color rgb="FF333333"/>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A6A6A6"/>
        </left>
        <right style="thin">
          <color rgb="FFA6A6A6"/>
        </right>
        <top/>
        <bottom/>
      </border>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rgb="FF000000"/>
          <bgColor rgb="FFFFFFFF"/>
        </patternFill>
      </fill>
      <alignment horizontal="general" vertical="bottom" textRotation="0" wrapText="1" indent="0" justifyLastLine="0" shrinkToFit="0" readingOrder="0"/>
    </dxf>
    <dxf>
      <border outline="0">
        <bottom style="thin">
          <color rgb="FFA6A6A6"/>
        </bottom>
      </border>
    </dxf>
    <dxf>
      <font>
        <b/>
        <i val="0"/>
        <strike val="0"/>
        <condense val="0"/>
        <extend val="0"/>
        <outline val="0"/>
        <shadow val="0"/>
        <u val="none"/>
        <vertAlign val="baseline"/>
        <sz val="11"/>
        <color rgb="FF333333"/>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A6A6A6"/>
        </left>
        <right style="thin">
          <color rgb="FFA6A6A6"/>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my.sharepoint.com/Users/DVD/Desktop/Trainings%20&amp;%20Conferences/CalHR/Excel%20Level%203/Excel%202019%20-%20Level%203/Logical%20and%20Lookup%20Functions/Lookups%20match%20and%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s"/>
      <sheetName val="Grades"/>
      <sheetName val="Reps"/>
      <sheetName val="Index-Match"/>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726B0F-D2B7-4CED-980E-BD583CB4F381}" name="Table52" displayName="Table52" ref="A7:X267" totalsRowShown="0" headerRowDxfId="157" dataDxfId="155" headerRowBorderDxfId="156" tableBorderDxfId="154">
  <tableColumns count="24">
    <tableColumn id="1" xr3:uid="{0F31DF3C-1C42-40B9-81E4-4F425F214FD3}" name="Company Name" dataDxfId="153"/>
    <tableColumn id="2" xr3:uid="{A53DB862-7965-4755-A62E-F3D863ABA1D1}" name="Company Website" dataDxfId="152"/>
    <tableColumn id="3" xr3:uid="{3F57A2AE-3107-4D85-833D-6C3509DDA57E}" name="Company Email" dataDxfId="151"/>
    <tableColumn id="4" xr3:uid="{7DEEF527-76D2-4B5B-9FA6-F9A60434AA6A}" name="Alt. Email" dataDxfId="150"/>
    <tableColumn id="5" xr3:uid="{E6449F7B-A102-4A76-912A-9D670B880590}" name="Alt. Email 2" dataDxfId="149"/>
    <tableColumn id="6" xr3:uid="{89639137-233E-4FDB-8154-A68F27B1A4D0}" name="Company _x000a_Phone" dataDxfId="148"/>
    <tableColumn id="7" xr3:uid="{5FEEF772-171A-43D4-9F69-2261A9B63A7E}" name="Phone Extension / Alt No." dataDxfId="147"/>
    <tableColumn id="8" xr3:uid="{BC47BC74-9B71-400A-A9CD-FB8136B94B84}" name="Active License" dataDxfId="146"/>
    <tableColumn id="9" xr3:uid="{0C7AF38E-A6C2-46DB-8B4A-F483DE34BE1D}" name="License number" dataDxfId="145"/>
    <tableColumn id="10" xr3:uid="{2979AC56-F96B-48E1-AE1B-36CB282C20AF}" name="Secondary License Number" dataDxfId="144"/>
    <tableColumn id="11" xr3:uid="{2B3C6C9D-B0DD-41FD-B47F-CECE42667934}" name="Customer Type Served" dataDxfId="143"/>
    <tableColumn id="12" xr3:uid="{7E5FBFB9-A65D-43A7-8B6C-A8BEA2564921}" name="Column1" dataDxfId="142"/>
    <tableColumn id="13" xr3:uid="{64DE69DF-66D6-482A-9C07-670761BCC471}" name="Housing Type Served" dataDxfId="141"/>
    <tableColumn id="14" xr3:uid="{79C3402A-6EE4-44A1-A936-CEAAD333EC4D}" name="Column2" dataDxfId="140"/>
    <tableColumn id="15" xr3:uid="{A0490541-EB7D-4E59-87F7-39FBB27408FA}" name="Customer Type Served2" dataDxfId="139"/>
    <tableColumn id="16" xr3:uid="{A2EB834C-9D0D-404B-95B5-FB333139A00C}" name="Customer Type Served3" dataDxfId="138"/>
    <tableColumn id="17" xr3:uid="{645FF7C4-A2DF-4764-81D3-D0C738FE17D8}" name="Familiar with SGIP Equity Resiliency Requirements (Yes/No/Unknown)" dataDxfId="137"/>
    <tableColumn id="18" xr3:uid="{5288F4F7-3C02-4429-AF35-65AE7F6CEC3F}" name="Firm has Experience with Access and Functional Needs Customers (Yes/No/Unknown)" dataDxfId="136"/>
    <tableColumn id="19" xr3:uid="{14800915-B131-4E2E-AF01-646497EDC697}" name="Able to serve low-income, medically vulnerable, access and functional needs, tribal, and disadvaged community customers (Yes/No/Unknown)" dataDxfId="135"/>
    <tableColumn id="20" xr3:uid="{B272D881-9B64-4F48-8F7E-B17722FE99B6}" name="Upfront Financial Assistance Available for Low-Income Customers (Yes/No/Unknown)" dataDxfId="134"/>
    <tableColumn id="21" xr3:uid="{AD2462F5-7A42-4822-A062-44A1B0B96038}" name="Description of Upfront Financial Assistance" dataDxfId="133"/>
    <tableColumn id="22" xr3:uid="{3D2E3055-7F8A-404B-9787-29072A565F7A}" name="Additional Customer Education and Assistance Available (Yes/No/Unknown)" dataDxfId="132"/>
    <tableColumn id="23" xr3:uid="{4FADCA97-2C68-4F78-8ED0-085AD9F49DD4}" name="Description of Additional Customer Education and Assistance" dataDxfId="131"/>
    <tableColumn id="24" xr3:uid="{4FAA3119-50BA-43B2-A96E-8D72859CA406}" name="Additional Detail About Services Offered By the Company" dataDxfId="13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E74E79-535D-4ADB-A136-F5D65C96D007}" name="Table5" displayName="Table5" ref="A1:X261" totalsRowShown="0" headerRowDxfId="129" dataDxfId="127" headerRowBorderDxfId="128" tableBorderDxfId="126">
  <autoFilter ref="A1:X261" xr:uid="{579D094E-51A3-4054-A314-16ED96D39A3E}"/>
  <tableColumns count="24">
    <tableColumn id="1" xr3:uid="{1AB668D5-A98F-468E-A500-E7AF68FFD4C7}" name="Company Name" dataDxfId="125"/>
    <tableColumn id="2" xr3:uid="{6301FE6B-24C1-416A-8B13-6FA83886232C}" name="Company Website" dataDxfId="124"/>
    <tableColumn id="3" xr3:uid="{FF420B43-4423-4EB5-9ED4-FC43C288B7BE}" name="Company Email" dataDxfId="123"/>
    <tableColumn id="4" xr3:uid="{8A1E95F2-3385-4CF1-BF56-E132F2FCA3B7}" name="Alt. Email" dataDxfId="122"/>
    <tableColumn id="5" xr3:uid="{CBD932AB-8A49-48FF-8CE9-0772CB76C913}" name="Alt. Email 2" dataDxfId="121"/>
    <tableColumn id="6" xr3:uid="{D82B9F78-6E0F-4C6B-9CF9-FCBED1B73520}" name="Company _x000a_Phone" dataDxfId="120"/>
    <tableColumn id="7" xr3:uid="{D7C7B470-2E3F-42FC-B8F9-0FF7834AB1E4}" name="Phone Extension / Alt No." dataDxfId="119"/>
    <tableColumn id="8" xr3:uid="{E8FFF4CA-2DEC-4A3E-BA80-14831FCA1241}" name="Active License" dataDxfId="118"/>
    <tableColumn id="9" xr3:uid="{CF68FF35-8C00-468F-A7A9-0C9DB9C95BC4}" name="License number" dataDxfId="117"/>
    <tableColumn id="10" xr3:uid="{77B4BC3E-A31C-4FA2-BAF3-F5A116688063}" name="Secondary License Number" dataDxfId="116"/>
    <tableColumn id="11" xr3:uid="{4FFCB723-4BAC-4D1D-A367-7151059C0690}" name="Customer Type Served" dataDxfId="115"/>
    <tableColumn id="12" xr3:uid="{EC0355B1-14A5-4CF8-A6C1-5C87454629AE}" name="Column1" dataDxfId="114"/>
    <tableColumn id="13" xr3:uid="{31B6701B-0D9B-4CAD-A2C4-E075B9355E63}" name="Housing Type Served" dataDxfId="113"/>
    <tableColumn id="14" xr3:uid="{D5111449-A269-43DC-86F4-DD0F00D0F300}" name="Column2" dataDxfId="112"/>
    <tableColumn id="15" xr3:uid="{CAEF341A-9542-4A8E-BE5A-1D7B43ACA21A}" name="Customer Type Served3" dataDxfId="111"/>
    <tableColumn id="16" xr3:uid="{61290D6E-ED82-4033-9F3C-2B961C1F97B1}" name="Customer Type Served4" dataDxfId="110"/>
    <tableColumn id="17" xr3:uid="{F9D544A5-0BE0-41A8-BF17-E335655DBE9D}" name="Familiar with SGIP Equity Resiliency Requirements (Yes/No/Unknown)" dataDxfId="109"/>
    <tableColumn id="18" xr3:uid="{BA792BBB-4FBD-4E2B-9BEC-68CA79EC7706}" name="Firm has Experience with Access and Functional Needs Customers (Yes/No/Unknown)" dataDxfId="108"/>
    <tableColumn id="19" xr3:uid="{F591E3E5-EB25-44E4-9735-AC950533BA9E}" name="Able to serve low-income, medically vulnerable, access and functional needs, tribal, and disadvaged community customers (Yes/No/Unknown)" dataDxfId="107"/>
    <tableColumn id="20" xr3:uid="{3251F18A-AD4D-4795-BA89-343A19CA4C03}" name="Upfront Financial Assistance Available for Low-Income Customers (Yes/No/Unknown)" dataDxfId="106"/>
    <tableColumn id="21" xr3:uid="{BAFF35A8-5ABA-47DA-89A6-28BFBFA2C8A5}" name="Description of Upfront Financial Assistance" dataDxfId="105"/>
    <tableColumn id="22" xr3:uid="{FC99EF2A-2EFE-4265-B8A4-C6117D9E61F1}" name="Additional Customer Education and Assistance Available (Yes/No/Unknown)" dataDxfId="104"/>
    <tableColumn id="23" xr3:uid="{A62CA15F-2C16-427F-8EBF-9A5E41864D9B}" name="Description of Additional Customer Education and Assistance" dataDxfId="103"/>
    <tableColumn id="24" xr3:uid="{2C8BD095-2D8A-494F-8698-A74123DD12D3}" name="Additional Detail About Services Offered By the Company" dataDxfId="102"/>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0D659E-07CF-485F-897D-47D8D2D6430E}" name="Table4" displayName="Table4" ref="A1:BH261" totalsRowShown="0" headerRowDxfId="101" dataDxfId="99" headerRowBorderDxfId="100" tableBorderDxfId="98">
  <tableColumns count="60">
    <tableColumn id="1" xr3:uid="{A12A2F43-C7CD-479A-A869-D4EBE25546FD}" name="Company Name" dataDxfId="97"/>
    <tableColumn id="61" xr3:uid="{889DE9EA-C6AF-4646-A1FC-A70096529278}" name="Merged Counties" dataDxfId="96">
      <calculatedColumnFormula>_xlfn.TEXTJOIN(",  ",TRUE,C2:BH2)</calculatedColumnFormula>
    </tableColumn>
    <tableColumn id="2" xr3:uid="{A8880F5E-BD5F-4653-AC35-B3949D3FF170}" name="Alameda" dataDxfId="95"/>
    <tableColumn id="3" xr3:uid="{E88C2670-FF87-44BA-ADA6-4168A824D476}" name="Alpine" dataDxfId="94"/>
    <tableColumn id="4" xr3:uid="{EECE4E5E-521F-44A7-8932-BF8E2C63DA79}" name="Amador" dataDxfId="93"/>
    <tableColumn id="5" xr3:uid="{257F6CB2-3D18-4F3D-9F80-A5D4F767F5DE}" name="Butte" dataDxfId="92"/>
    <tableColumn id="6" xr3:uid="{3C1F11FA-CBFB-4C83-9F03-C53699BD2C6A}" name="Calaveras" dataDxfId="91"/>
    <tableColumn id="7" xr3:uid="{2B2CB2EE-4A91-433B-B232-99308B4DB08C}" name="Colusa" dataDxfId="90"/>
    <tableColumn id="8" xr3:uid="{E7854B3B-D8AF-4B22-B75D-A587CBDB1D42}" name="Contra Costa" dataDxfId="89"/>
    <tableColumn id="62" xr3:uid="{6B9A08CC-FA67-42EC-B6FA-BB9C33EB4965}" name="Del Norte" dataDxfId="88"/>
    <tableColumn id="9" xr3:uid="{8D242459-4F0C-46C8-9A94-C2FD6BF0AAA1}" name="El Dorado" dataDxfId="87"/>
    <tableColumn id="11" xr3:uid="{69B4EC32-59CE-4BCF-9DE8-4970FA5D795E}" name="Fresno" dataDxfId="86"/>
    <tableColumn id="12" xr3:uid="{CB55CC0C-BA95-40D0-BCE7-BEB5F2521368}" name="Glenn" dataDxfId="85"/>
    <tableColumn id="13" xr3:uid="{B31F4DCA-0D22-4C6C-A632-CA7E3027A240}" name="Humboldt" dataDxfId="84"/>
    <tableColumn id="14" xr3:uid="{B2C31992-66FA-4151-81B3-B9429158E3ED}" name="Imperial" dataDxfId="83"/>
    <tableColumn id="15" xr3:uid="{6CFC7BCD-9522-4D9B-AD11-6F59B1147A51}" name="Inyo" dataDxfId="82"/>
    <tableColumn id="16" xr3:uid="{DEC21D76-1719-47D3-A062-56227EFFB321}" name="Kern" dataDxfId="81"/>
    <tableColumn id="17" xr3:uid="{FC26889C-F2D3-4DB4-A125-DD1A7D092F9D}" name="Kings" dataDxfId="80"/>
    <tableColumn id="18" xr3:uid="{2A9BBBCC-4E2E-4BE7-AD42-29EF8679A7BE}" name="Lake" dataDxfId="79"/>
    <tableColumn id="19" xr3:uid="{F9B47F6B-E5D0-41CB-97C7-9836A574C8CD}" name="Lassen" dataDxfId="78"/>
    <tableColumn id="20" xr3:uid="{0C760554-7EE4-4F95-AA13-233C110B9FC6}" name="Los Angeles" dataDxfId="77"/>
    <tableColumn id="21" xr3:uid="{0B2F8FFC-320B-44A2-8DAC-7228B4540522}" name="Madera" dataDxfId="76"/>
    <tableColumn id="22" xr3:uid="{AE73D5E6-F9E6-4B3D-8546-DBB12E4876CB}" name="Marin" dataDxfId="75"/>
    <tableColumn id="23" xr3:uid="{61EABAF0-7E6F-47CF-9E26-182B76FE1F43}" name="Mariposa" dataDxfId="74"/>
    <tableColumn id="24" xr3:uid="{7C8643A5-BAD9-4758-BE3D-5E1FC5687113}" name="Mendocino" dataDxfId="73"/>
    <tableColumn id="25" xr3:uid="{BB860DAA-5A40-4719-8913-D98B7A2F6C30}" name="Merced" dataDxfId="72"/>
    <tableColumn id="26" xr3:uid="{7F11500E-9990-4461-867D-9C96D50955FD}" name="Modoc" dataDxfId="71"/>
    <tableColumn id="27" xr3:uid="{8D2A941B-BAAF-4575-8B4F-D1D64C6B1FFA}" name="Mono" dataDxfId="70"/>
    <tableColumn id="28" xr3:uid="{EEFDD7B3-9AA7-44C8-BDC9-683DAA49FB49}" name="Monterey" dataDxfId="69"/>
    <tableColumn id="29" xr3:uid="{1DF9F320-E918-46A5-BCDC-3D459D7CD11E}" name="Napa" dataDxfId="68"/>
    <tableColumn id="30" xr3:uid="{5D99A90C-BD18-4C3E-910B-B69BAE9F65F7}" name="Nevada" dataDxfId="67"/>
    <tableColumn id="31" xr3:uid="{2DE58998-9EED-4C18-B310-A64E1BA8CCD1}" name="Orange" dataDxfId="66"/>
    <tableColumn id="32" xr3:uid="{D1B5C000-1907-49F1-804C-DC63B4EBD8D0}" name="Placer" dataDxfId="65"/>
    <tableColumn id="33" xr3:uid="{40BA457C-FDC3-4199-B7D2-DD041B6212BD}" name="Plumas" dataDxfId="64"/>
    <tableColumn id="34" xr3:uid="{1094DBF6-EA07-4A42-BE41-B8075AE1661C}" name="Riverside" dataDxfId="63"/>
    <tableColumn id="35" xr3:uid="{8888DD88-4A27-4786-8D3F-3DFE7BCB6707}" name="Sacramento" dataDxfId="62"/>
    <tableColumn id="36" xr3:uid="{A5359B8B-ACA0-4FFF-86DF-560C0B47D335}" name="San Benito" dataDxfId="61"/>
    <tableColumn id="37" xr3:uid="{E3EBCCB1-B6A2-4D83-B3A2-3234F08C717D}" name="San Bernardino" dataDxfId="60"/>
    <tableColumn id="38" xr3:uid="{61009593-BD5C-405A-8DA7-BE3B5732058E}" name="San Diego" dataDxfId="59"/>
    <tableColumn id="39" xr3:uid="{B450C747-EA53-4120-BDB2-0428373751F6}" name="San Francisco" dataDxfId="58"/>
    <tableColumn id="40" xr3:uid="{90B8F5B3-A989-4E34-B05B-D9F392CABD13}" name="San Joaquin" dataDxfId="57"/>
    <tableColumn id="41" xr3:uid="{60305805-3FB9-4240-8CA0-6A02133E55D0}" name="San Luis Obispo" dataDxfId="56"/>
    <tableColumn id="42" xr3:uid="{CDBED55C-20AB-440C-B469-6A5181794A06}" name="San Mateo" dataDxfId="55"/>
    <tableColumn id="43" xr3:uid="{7D6272E6-E9B4-4174-AC55-9A05C8498815}" name="Santa Barbara" dataDxfId="54"/>
    <tableColumn id="44" xr3:uid="{714857A4-AC14-4C46-8D09-A86E3CEB27A1}" name="Santa Clara" dataDxfId="53"/>
    <tableColumn id="45" xr3:uid="{A166525F-17AD-4691-AD5B-FE28E3B87E60}" name="Santa Cruz" dataDxfId="52"/>
    <tableColumn id="46" xr3:uid="{9DD92358-294C-43AC-8AA9-EF8FF80A564A}" name="Shasta" dataDxfId="51"/>
    <tableColumn id="47" xr3:uid="{826D0AFA-8562-4B1A-85F8-890CFB351138}" name="Sierra" dataDxfId="50"/>
    <tableColumn id="48" xr3:uid="{A861267F-8C1E-4887-A62F-37A6F3AA1D52}" name="Siskiyou" dataDxfId="49"/>
    <tableColumn id="49" xr3:uid="{9612B956-A041-4237-AE5D-149A7DF33F96}" name="Solano" dataDxfId="48"/>
    <tableColumn id="50" xr3:uid="{6DC932F9-2E73-461C-BE39-4B8B91BFB9C7}" name="Sonoma" dataDxfId="47"/>
    <tableColumn id="51" xr3:uid="{480829AF-6AD7-4B9B-A3F6-D955535BEA52}" name="Stanislaus" dataDxfId="46"/>
    <tableColumn id="52" xr3:uid="{1D8E0468-E8D8-492E-9694-D28844324DDF}" name="Sutter" dataDxfId="45"/>
    <tableColumn id="53" xr3:uid="{16515D4B-A7C4-4EA1-8D2F-E47D3DC6D1D2}" name="Tehama" dataDxfId="44"/>
    <tableColumn id="54" xr3:uid="{40291F05-C00C-48D8-8B0A-40D668D9FAC3}" name="Trinity" dataDxfId="43"/>
    <tableColumn id="55" xr3:uid="{19295C77-BC9C-4887-B3D3-4ECE3AAAD93F}" name="Tulare" dataDxfId="42"/>
    <tableColumn id="56" xr3:uid="{77527404-0295-4FB9-8BF2-FDD244ADC290}" name="Tuolumne" dataDxfId="41"/>
    <tableColumn id="57" xr3:uid="{A645228D-9A44-427C-92BF-1EE2BF0F52C0}" name="Ventura" dataDxfId="40"/>
    <tableColumn id="58" xr3:uid="{10BFB13B-BBE2-4E45-B3F0-9BE9EA116298}" name="Yolo" dataDxfId="39"/>
    <tableColumn id="59" xr3:uid="{F5B6FFF8-DFC8-4E2D-B924-3987A6875457}" name="Yuba" dataDxfId="38"/>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9B76E-C48C-407A-920E-477DBC860B13}" name="Table24" displayName="Table24" ref="A1:AH261" totalsRowShown="0" headerRowDxfId="37" dataDxfId="35" headerRowBorderDxfId="36" tableBorderDxfId="34">
  <tableColumns count="34">
    <tableColumn id="1" xr3:uid="{176DEA01-3078-489A-83E7-419B5DF8B3AD}" name="Company Name" dataDxfId="33"/>
    <tableColumn id="34" xr3:uid="{8CF47B1C-D41A-4EAB-B48D-FFA704C5792E}" name="Concatenated Languages" dataDxfId="32">
      <calculatedColumnFormula>_xlfn.TEXTJOIN(",  ",TRUE,Table24[[#This Row],[Column 1]:[Column 32]])</calculatedColumnFormula>
    </tableColumn>
    <tableColumn id="2" xr3:uid="{6F8DDDAA-3B3A-4407-93C5-B0F421D045A3}" name="Column 1" dataDxfId="31"/>
    <tableColumn id="3" xr3:uid="{FAC0B104-741C-4C63-B268-1C12A29FEBAD}" name="Column2" dataDxfId="30"/>
    <tableColumn id="4" xr3:uid="{F0727B17-3C44-413C-B42B-D2E26BE4CD1F}" name="Column 3" dataDxfId="29"/>
    <tableColumn id="5" xr3:uid="{E0B8BFBD-F2A7-4C60-8F0B-85D82043F357}" name="Column 4" dataDxfId="28"/>
    <tableColumn id="6" xr3:uid="{F6F8E460-6D71-432F-8B71-5A20FB0FE9CD}" name="Column 5" dataDxfId="27"/>
    <tableColumn id="7" xr3:uid="{13EA93AD-807E-48B7-AAE8-6E0911A477AB}" name="Column 6" dataDxfId="26"/>
    <tableColumn id="8" xr3:uid="{4C29A2CC-6107-4A37-9C52-031C0EEA9DF5}" name="Column 7" dataDxfId="25"/>
    <tableColumn id="9" xr3:uid="{EC3981E9-A7F4-4BE9-8018-4D91E1785AB0}" name="Column 8" dataDxfId="24"/>
    <tableColumn id="10" xr3:uid="{8325CB00-DB8D-4548-AF04-BC9D0C54D535}" name="Column 9" dataDxfId="23"/>
    <tableColumn id="11" xr3:uid="{5EC610E1-67B5-4124-AD41-6841200FD18D}" name="Column 10" dataDxfId="22"/>
    <tableColumn id="12" xr3:uid="{2D2B13D9-F94B-4963-8EB3-D31E9D123449}" name="Column 11" dataDxfId="21"/>
    <tableColumn id="13" xr3:uid="{A4E0780D-A5E1-4D1F-9AA8-E50D071BE664}" name="Column 12" dataDxfId="20"/>
    <tableColumn id="14" xr3:uid="{9223A4EF-6C7C-44FC-9133-49A8BBC9E645}" name="Column 13" dataDxfId="19"/>
    <tableColumn id="15" xr3:uid="{79D336F6-EA14-4F2E-8450-0BD3632A4EF7}" name="Column 14" dataDxfId="18"/>
    <tableColumn id="16" xr3:uid="{4F878DA5-01AC-4806-92F0-2B31F183A851}" name="Column 15" dataDxfId="17"/>
    <tableColumn id="17" xr3:uid="{430B73B5-25B4-4460-859F-5CC045CB4E52}" name="Column 16" dataDxfId="16"/>
    <tableColumn id="18" xr3:uid="{C6B6EB3C-B98D-4172-B84E-C0FCF051480C}" name="Column 17" dataDxfId="15"/>
    <tableColumn id="19" xr3:uid="{039DB5F0-7286-4280-948E-7C29A3ACA2C3}" name="Column 18" dataDxfId="14"/>
    <tableColumn id="20" xr3:uid="{30D8DAA4-B8D3-4318-8731-EE4110B8290A}" name="Column 19" dataDxfId="13"/>
    <tableColumn id="21" xr3:uid="{81EAC3AB-8811-46CA-B8B9-913D335E0621}" name="Column 20" dataDxfId="12"/>
    <tableColumn id="22" xr3:uid="{C865894E-A74E-46E3-8787-9C5D5E34FB06}" name="Column 21" dataDxfId="11"/>
    <tableColumn id="23" xr3:uid="{6703F094-D4BC-4AFF-B528-E40E056645D9}" name="Column 22" dataDxfId="10"/>
    <tableColumn id="24" xr3:uid="{D999C942-BD4D-4527-AAF8-A9107CB55606}" name="Column 23" dataDxfId="9"/>
    <tableColumn id="25" xr3:uid="{18EEC94D-9D30-4DF9-A0BF-6007BC509B3D}" name="Column 24" dataDxfId="8"/>
    <tableColumn id="26" xr3:uid="{468BD651-DE1B-47BE-A26A-4E8C390C686E}" name="Column 25" dataDxfId="7"/>
    <tableColumn id="27" xr3:uid="{C1BAC37B-98F4-463E-80E0-8C40AB268391}" name="Column 26" dataDxfId="6"/>
    <tableColumn id="28" xr3:uid="{B05168C9-1686-4A5C-96AF-0A9136278A77}" name="Column 27" dataDxfId="5"/>
    <tableColumn id="29" xr3:uid="{1DD068D9-D074-4DDB-AE84-D9D8599968CF}" name="Column 28" dataDxfId="4"/>
    <tableColumn id="30" xr3:uid="{DB761E94-9D39-4EB1-B5F9-4224F946A5D8}" name="Column 29" dataDxfId="3"/>
    <tableColumn id="31" xr3:uid="{2EC77D1E-20C8-4E51-9857-E5DDFE3AF0A4}" name="Column 30" dataDxfId="2"/>
    <tableColumn id="32" xr3:uid="{762B01C6-BFD8-4784-86E4-B6E130A71235}" name="Column 31" dataDxfId="1"/>
    <tableColumn id="33" xr3:uid="{77C3F378-A9B4-475D-9A3F-A0089E909638}" name="Column 32"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usa-gce.com/" TargetMode="External"/><Relationship Id="rId13" Type="http://schemas.openxmlformats.org/officeDocument/2006/relationships/hyperlink" Target="https://californiasolarco.com/" TargetMode="External"/><Relationship Id="rId3" Type="http://schemas.openxmlformats.org/officeDocument/2006/relationships/hyperlink" Target="http://www.mimeos.net/" TargetMode="External"/><Relationship Id="rId7" Type="http://schemas.openxmlformats.org/officeDocument/2006/relationships/hyperlink" Target="http://www.capitalcitysolar.com/" TargetMode="External"/><Relationship Id="rId12" Type="http://schemas.openxmlformats.org/officeDocument/2006/relationships/hyperlink" Target="http://www.sustech.cc/" TargetMode="External"/><Relationship Id="rId2" Type="http://schemas.openxmlformats.org/officeDocument/2006/relationships/hyperlink" Target="http://www.solarforward.com/" TargetMode="External"/><Relationship Id="rId1" Type="http://schemas.openxmlformats.org/officeDocument/2006/relationships/hyperlink" Target="http://www.ies.solar/" TargetMode="External"/><Relationship Id="rId6" Type="http://schemas.openxmlformats.org/officeDocument/2006/relationships/hyperlink" Target="http://www.ecosolarusa.com/" TargetMode="External"/><Relationship Id="rId11" Type="http://schemas.openxmlformats.org/officeDocument/2006/relationships/hyperlink" Target="http://www.thatsbyers.com/" TargetMode="External"/><Relationship Id="rId5" Type="http://schemas.openxmlformats.org/officeDocument/2006/relationships/hyperlink" Target="http://www.suntegritysolar.com/" TargetMode="External"/><Relationship Id="rId10" Type="http://schemas.openxmlformats.org/officeDocument/2006/relationships/hyperlink" Target="http://www.sunonenergy.com/" TargetMode="External"/><Relationship Id="rId4" Type="http://schemas.openxmlformats.org/officeDocument/2006/relationships/hyperlink" Target="http://www.hotpurpleenergy.com/" TargetMode="External"/><Relationship Id="rId9" Type="http://schemas.openxmlformats.org/officeDocument/2006/relationships/hyperlink" Target="http://www.day1solar.com/" TargetMode="External"/><Relationship Id="rId1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17" Type="http://schemas.openxmlformats.org/officeDocument/2006/relationships/hyperlink" Target="http://www.gtisolar.com/" TargetMode="External"/><Relationship Id="rId21" Type="http://schemas.openxmlformats.org/officeDocument/2006/relationships/hyperlink" Target="http://www.westcoastsolar.com/" TargetMode="External"/><Relationship Id="rId42" Type="http://schemas.openxmlformats.org/officeDocument/2006/relationships/hyperlink" Target="http://www.altairsolar.com/" TargetMode="External"/><Relationship Id="rId63" Type="http://schemas.openxmlformats.org/officeDocument/2006/relationships/hyperlink" Target="http://www.calsolarinc.com/" TargetMode="External"/><Relationship Id="rId84" Type="http://schemas.openxmlformats.org/officeDocument/2006/relationships/hyperlink" Target="http://www.earth-electric.com/" TargetMode="External"/><Relationship Id="rId138" Type="http://schemas.openxmlformats.org/officeDocument/2006/relationships/hyperlink" Target="https://www.la-solargroup.com/" TargetMode="External"/><Relationship Id="rId159" Type="http://schemas.openxmlformats.org/officeDocument/2006/relationships/hyperlink" Target="http://www.oxypower.com/" TargetMode="External"/><Relationship Id="rId170" Type="http://schemas.openxmlformats.org/officeDocument/2006/relationships/hyperlink" Target="http://www.qualityhomeservices.com/" TargetMode="External"/><Relationship Id="rId191" Type="http://schemas.openxmlformats.org/officeDocument/2006/relationships/hyperlink" Target="http://www.skrsolar.com/" TargetMode="External"/><Relationship Id="rId205" Type="http://schemas.openxmlformats.org/officeDocument/2006/relationships/hyperlink" Target="http://www.solarcraft.com/" TargetMode="External"/><Relationship Id="rId226" Type="http://schemas.openxmlformats.org/officeDocument/2006/relationships/hyperlink" Target="http://www.sunisticsgroup.com/" TargetMode="External"/><Relationship Id="rId247" Type="http://schemas.openxmlformats.org/officeDocument/2006/relationships/hyperlink" Target="http://www.trinitypowerca.com/" TargetMode="External"/><Relationship Id="rId107" Type="http://schemas.openxmlformats.org/officeDocument/2006/relationships/hyperlink" Target="http://www.gomicrogrid.com/" TargetMode="External"/><Relationship Id="rId11" Type="http://schemas.openxmlformats.org/officeDocument/2006/relationships/hyperlink" Target="http://www.thatsbyers.com/" TargetMode="External"/><Relationship Id="rId32" Type="http://schemas.openxmlformats.org/officeDocument/2006/relationships/hyperlink" Target="http://www.a1suninc.com/" TargetMode="External"/><Relationship Id="rId53" Type="http://schemas.openxmlformats.org/officeDocument/2006/relationships/hyperlink" Target="http://www.belmont-energy.com/" TargetMode="External"/><Relationship Id="rId74" Type="http://schemas.openxmlformats.org/officeDocument/2006/relationships/hyperlink" Target="http://www.limatec.com/" TargetMode="External"/><Relationship Id="rId128" Type="http://schemas.openxmlformats.org/officeDocument/2006/relationships/hyperlink" Target="http://www.incentivesolar.com/" TargetMode="External"/><Relationship Id="rId149" Type="http://schemas.openxmlformats.org/officeDocument/2006/relationships/hyperlink" Target="http://www.modernizeconstruction.com/" TargetMode="External"/><Relationship Id="rId5" Type="http://schemas.openxmlformats.org/officeDocument/2006/relationships/hyperlink" Target="http://www.suntegritysolar.com/" TargetMode="External"/><Relationship Id="rId95" Type="http://schemas.openxmlformats.org/officeDocument/2006/relationships/hyperlink" Target="http://www.energyinsol.com/" TargetMode="External"/><Relationship Id="rId160" Type="http://schemas.openxmlformats.org/officeDocument/2006/relationships/hyperlink" Target="http://www.optiononesolar.com/" TargetMode="External"/><Relationship Id="rId181" Type="http://schemas.openxmlformats.org/officeDocument/2006/relationships/hyperlink" Target="http://www.sandiegosolar.com/" TargetMode="External"/><Relationship Id="rId216" Type="http://schemas.openxmlformats.org/officeDocument/2006/relationships/hyperlink" Target="http://www.stellarsolar.net/" TargetMode="External"/><Relationship Id="rId237" Type="http://schemas.openxmlformats.org/officeDocument/2006/relationships/hyperlink" Target="http://www.seg.energy.com/" TargetMode="External"/><Relationship Id="rId22" Type="http://schemas.openxmlformats.org/officeDocument/2006/relationships/hyperlink" Target="http://www.westcoastsolarenergy.com/" TargetMode="External"/><Relationship Id="rId43" Type="http://schemas.openxmlformats.org/officeDocument/2006/relationships/hyperlink" Target="http://www.altsyssolar.com/" TargetMode="External"/><Relationship Id="rId64" Type="http://schemas.openxmlformats.org/officeDocument/2006/relationships/hyperlink" Target="https://www.calstatedev.com/" TargetMode="External"/><Relationship Id="rId118" Type="http://schemas.openxmlformats.org/officeDocument/2006/relationships/hyperlink" Target="http://www.guastisolar.com/" TargetMode="External"/><Relationship Id="rId139" Type="http://schemas.openxmlformats.org/officeDocument/2006/relationships/hyperlink" Target="http://www.laibachsolar.com/" TargetMode="External"/><Relationship Id="rId85" Type="http://schemas.openxmlformats.org/officeDocument/2006/relationships/hyperlink" Target="http://www.earthwise-energy.com/" TargetMode="External"/><Relationship Id="rId150" Type="http://schemas.openxmlformats.org/officeDocument/2006/relationships/hyperlink" Target="http://www.bakerhomeenergy.com/" TargetMode="External"/><Relationship Id="rId171" Type="http://schemas.openxmlformats.org/officeDocument/2006/relationships/hyperlink" Target="http://www.purepowersolutions.com/" TargetMode="External"/><Relationship Id="rId192" Type="http://schemas.openxmlformats.org/officeDocument/2006/relationships/hyperlink" Target="http://www.skypowersolar.com/" TargetMode="External"/><Relationship Id="rId206" Type="http://schemas.openxmlformats.org/officeDocument/2006/relationships/hyperlink" Target="https://solareenergy.com/" TargetMode="External"/><Relationship Id="rId227" Type="http://schemas.openxmlformats.org/officeDocument/2006/relationships/hyperlink" Target="https://www.sunlineenergy.com/" TargetMode="External"/><Relationship Id="rId248" Type="http://schemas.openxmlformats.org/officeDocument/2006/relationships/hyperlink" Target="http://www.urbanenergysf.com/" TargetMode="External"/><Relationship Id="rId12" Type="http://schemas.openxmlformats.org/officeDocument/2006/relationships/hyperlink" Target="http://www.sustech.cc/" TargetMode="External"/><Relationship Id="rId33" Type="http://schemas.openxmlformats.org/officeDocument/2006/relationships/hyperlink" Target="http://www.acrsolar.com/" TargetMode="External"/><Relationship Id="rId108" Type="http://schemas.openxmlformats.org/officeDocument/2006/relationships/hyperlink" Target="http://www.goldrushenergy.com/" TargetMode="External"/><Relationship Id="rId129" Type="http://schemas.openxmlformats.org/officeDocument/2006/relationships/hyperlink" Target="https://www.infinityenergy.com/" TargetMode="External"/><Relationship Id="rId54" Type="http://schemas.openxmlformats.org/officeDocument/2006/relationships/hyperlink" Target="http://www.bergersolarelectric.com/" TargetMode="External"/><Relationship Id="rId75" Type="http://schemas.openxmlformats.org/officeDocument/2006/relationships/hyperlink" Target="http://www.cmsolarelectric.com/" TargetMode="External"/><Relationship Id="rId96" Type="http://schemas.openxmlformats.org/officeDocument/2006/relationships/hyperlink" Target="http://www.energyoptions-wind.com/" TargetMode="External"/><Relationship Id="rId140" Type="http://schemas.openxmlformats.org/officeDocument/2006/relationships/hyperlink" Target="http://www.ledpowersaver.com/" TargetMode="External"/><Relationship Id="rId161" Type="http://schemas.openxmlformats.org/officeDocument/2006/relationships/hyperlink" Target="http://www.pacsolar.com/" TargetMode="External"/><Relationship Id="rId182" Type="http://schemas.openxmlformats.org/officeDocument/2006/relationships/hyperlink" Target="http://www.solluxapha.com/" TargetMode="External"/><Relationship Id="rId217" Type="http://schemas.openxmlformats.org/officeDocument/2006/relationships/hyperlink" Target="http://www.stem.com/" TargetMode="External"/><Relationship Id="rId6" Type="http://schemas.openxmlformats.org/officeDocument/2006/relationships/hyperlink" Target="http://www.ecosolarusa.com/" TargetMode="External"/><Relationship Id="rId238" Type="http://schemas.openxmlformats.org/officeDocument/2006/relationships/hyperlink" Target="http://www.sustineoplanet.com/" TargetMode="External"/><Relationship Id="rId23" Type="http://schemas.openxmlformats.org/officeDocument/2006/relationships/hyperlink" Target="http://www.westhavensolar.com/" TargetMode="External"/><Relationship Id="rId119" Type="http://schemas.openxmlformats.org/officeDocument/2006/relationships/hyperlink" Target="http://www.harrisonelectric.com/" TargetMode="External"/><Relationship Id="rId44" Type="http://schemas.openxmlformats.org/officeDocument/2006/relationships/hyperlink" Target="http://www.alxcable.com/" TargetMode="External"/><Relationship Id="rId65" Type="http://schemas.openxmlformats.org/officeDocument/2006/relationships/hyperlink" Target="http://www.calsunelectric.com/" TargetMode="External"/><Relationship Id="rId86" Type="http://schemas.openxmlformats.org/officeDocument/2006/relationships/hyperlink" Target="http://www.economicenergysolutions.com/" TargetMode="External"/><Relationship Id="rId130" Type="http://schemas.openxmlformats.org/officeDocument/2006/relationships/hyperlink" Target="http://www.infiniumsolar.com/" TargetMode="External"/><Relationship Id="rId151" Type="http://schemas.openxmlformats.org/officeDocument/2006/relationships/hyperlink" Target="http://www.neighborhoodace.com/" TargetMode="External"/><Relationship Id="rId172" Type="http://schemas.openxmlformats.org/officeDocument/2006/relationships/hyperlink" Target="http://www.qsd1.com/" TargetMode="External"/><Relationship Id="rId193" Type="http://schemas.openxmlformats.org/officeDocument/2006/relationships/hyperlink" Target="https://www.skytechsolar.com/" TargetMode="External"/><Relationship Id="rId207" Type="http://schemas.openxmlformats.org/officeDocument/2006/relationships/hyperlink" Target="http://www.solargraham.com/" TargetMode="External"/><Relationship Id="rId228" Type="http://schemas.openxmlformats.org/officeDocument/2006/relationships/hyperlink" Target="https://www.sunnova.com/" TargetMode="External"/><Relationship Id="rId249" Type="http://schemas.openxmlformats.org/officeDocument/2006/relationships/hyperlink" Target="https://v3electric.com/" TargetMode="External"/><Relationship Id="rId13" Type="http://schemas.openxmlformats.org/officeDocument/2006/relationships/hyperlink" Target="https://californiasolarco.com/" TargetMode="External"/><Relationship Id="rId109" Type="http://schemas.openxmlformats.org/officeDocument/2006/relationships/hyperlink" Target="https://goldenbearsolar.com/" TargetMode="External"/><Relationship Id="rId34" Type="http://schemas.openxmlformats.org/officeDocument/2006/relationships/hyperlink" Target="http://www.aaes.biz/" TargetMode="External"/><Relationship Id="rId55" Type="http://schemas.openxmlformats.org/officeDocument/2006/relationships/hyperlink" Target="https://blalock-electric.com/" TargetMode="External"/><Relationship Id="rId76" Type="http://schemas.openxmlformats.org/officeDocument/2006/relationships/hyperlink" Target="http://www.cmcoelectric.com/" TargetMode="External"/><Relationship Id="rId97" Type="http://schemas.openxmlformats.org/officeDocument/2006/relationships/hyperlink" Target="https://engieservices.us/" TargetMode="External"/><Relationship Id="rId120" Type="http://schemas.openxmlformats.org/officeDocument/2006/relationships/hyperlink" Target="http://www.hessolar.com/" TargetMode="External"/><Relationship Id="rId141" Type="http://schemas.openxmlformats.org/officeDocument/2006/relationships/hyperlink" Target="http://www.letsgetsolar.com/" TargetMode="External"/><Relationship Id="rId7" Type="http://schemas.openxmlformats.org/officeDocument/2006/relationships/hyperlink" Target="http://www.capitalcitysolar.com/" TargetMode="External"/><Relationship Id="rId162" Type="http://schemas.openxmlformats.org/officeDocument/2006/relationships/hyperlink" Target="http://www.aramsolar.com/" TargetMode="External"/><Relationship Id="rId183" Type="http://schemas.openxmlformats.org/officeDocument/2006/relationships/hyperlink" Target="http://www.sattlersolar.com/" TargetMode="External"/><Relationship Id="rId218" Type="http://schemas.openxmlformats.org/officeDocument/2006/relationships/hyperlink" Target="http://www.strongholdengineering.com/" TargetMode="External"/><Relationship Id="rId239" Type="http://schemas.openxmlformats.org/officeDocument/2006/relationships/hyperlink" Target="http://www.swellenergy.com/" TargetMode="External"/><Relationship Id="rId250" Type="http://schemas.openxmlformats.org/officeDocument/2006/relationships/table" Target="../tables/table2.xml"/><Relationship Id="rId24" Type="http://schemas.openxmlformats.org/officeDocument/2006/relationships/hyperlink" Target="http://www.wiredintothefuture.com/" TargetMode="External"/><Relationship Id="rId45" Type="http://schemas.openxmlformats.org/officeDocument/2006/relationships/hyperlink" Target="http://www.ambrosesolar.com/" TargetMode="External"/><Relationship Id="rId66" Type="http://schemas.openxmlformats.org/officeDocument/2006/relationships/hyperlink" Target="http://www.centricabusinesssolutions.com/" TargetMode="External"/><Relationship Id="rId87" Type="http://schemas.openxmlformats.org/officeDocument/2006/relationships/hyperlink" Target="https://www.edf-re.com/distributed-solutions/" TargetMode="External"/><Relationship Id="rId110" Type="http://schemas.openxmlformats.org/officeDocument/2006/relationships/hyperlink" Target="http://www.goldenstatepower.com/" TargetMode="External"/><Relationship Id="rId131" Type="http://schemas.openxmlformats.org/officeDocument/2006/relationships/hyperlink" Target="http://www.vitalenergysolar.com/" TargetMode="External"/><Relationship Id="rId152" Type="http://schemas.openxmlformats.org/officeDocument/2006/relationships/hyperlink" Target="http://www.newdaysolar.com/" TargetMode="External"/><Relationship Id="rId173" Type="http://schemas.openxmlformats.org/officeDocument/2006/relationships/hyperlink" Target="http://www.radiantsolartech.com/" TargetMode="External"/><Relationship Id="rId194" Type="http://schemas.openxmlformats.org/officeDocument/2006/relationships/hyperlink" Target="http://www.slingshotpower.com/" TargetMode="External"/><Relationship Id="rId208" Type="http://schemas.openxmlformats.org/officeDocument/2006/relationships/hyperlink" Target="http://www.solarnorcal.com/" TargetMode="External"/><Relationship Id="rId229" Type="http://schemas.openxmlformats.org/officeDocument/2006/relationships/hyperlink" Target="http://www.sunpowerca.com/" TargetMode="External"/><Relationship Id="rId240" Type="http://schemas.openxmlformats.org/officeDocument/2006/relationships/hyperlink" Target="http://www.symmetricenergy.com/" TargetMode="External"/><Relationship Id="rId14" Type="http://schemas.openxmlformats.org/officeDocument/2006/relationships/hyperlink" Target="http://www.a1c.co/" TargetMode="External"/><Relationship Id="rId35" Type="http://schemas.openxmlformats.org/officeDocument/2006/relationships/hyperlink" Target="http://www.aeternaenergy.com/" TargetMode="External"/><Relationship Id="rId56" Type="http://schemas.openxmlformats.org/officeDocument/2006/relationships/hyperlink" Target="http://www.bluepwnp.com/" TargetMode="External"/><Relationship Id="rId77" Type="http://schemas.openxmlformats.org/officeDocument/2006/relationships/hyperlink" Target="http://www.cobaltpower.com/" TargetMode="External"/><Relationship Id="rId100" Type="http://schemas.openxmlformats.org/officeDocument/2006/relationships/hyperlink" Target="https://www.forefrontpower.com/" TargetMode="External"/><Relationship Id="rId8" Type="http://schemas.openxmlformats.org/officeDocument/2006/relationships/hyperlink" Target="http://www.usa-gce.com/" TargetMode="External"/><Relationship Id="rId98" Type="http://schemas.openxmlformats.org/officeDocument/2006/relationships/hyperlink" Target="http://www.firstamericansolar.com/" TargetMode="External"/><Relationship Id="rId121" Type="http://schemas.openxmlformats.org/officeDocument/2006/relationships/hyperlink" Target="http://www.highlightsolar.com/" TargetMode="External"/><Relationship Id="rId142" Type="http://schemas.openxmlformats.org/officeDocument/2006/relationships/hyperlink" Target="http://www.llumetec.com/" TargetMode="External"/><Relationship Id="rId163" Type="http://schemas.openxmlformats.org/officeDocument/2006/relationships/hyperlink" Target="http://www.pacificsuntech.com/" TargetMode="External"/><Relationship Id="rId184" Type="http://schemas.openxmlformats.org/officeDocument/2006/relationships/hyperlink" Target="https://www.savealotsolar.com/" TargetMode="External"/><Relationship Id="rId219" Type="http://schemas.openxmlformats.org/officeDocument/2006/relationships/hyperlink" Target="http://www.sunlightandpower.com/" TargetMode="External"/><Relationship Id="rId230" Type="http://schemas.openxmlformats.org/officeDocument/2006/relationships/hyperlink" Target="http://www.sunpowerbyqhs.com/" TargetMode="External"/><Relationship Id="rId25" Type="http://schemas.openxmlformats.org/officeDocument/2006/relationships/hyperlink" Target="http://www.xerosolar.com/" TargetMode="External"/><Relationship Id="rId46" Type="http://schemas.openxmlformats.org/officeDocument/2006/relationships/hyperlink" Target="http://www.amerescosolar.com/" TargetMode="External"/><Relationship Id="rId67" Type="http://schemas.openxmlformats.org/officeDocument/2006/relationships/hyperlink" Target="https://www.chicoelectric.com/" TargetMode="External"/><Relationship Id="rId88" Type="http://schemas.openxmlformats.org/officeDocument/2006/relationships/hyperlink" Target="http://www.effectenergy.org/" TargetMode="External"/><Relationship Id="rId111" Type="http://schemas.openxmlformats.org/officeDocument/2006/relationships/hyperlink" Target="http://www.goldstatesolar.com/" TargetMode="External"/><Relationship Id="rId132" Type="http://schemas.openxmlformats.org/officeDocument/2006/relationships/hyperlink" Target="http://www.jagsolar.net/" TargetMode="External"/><Relationship Id="rId153" Type="http://schemas.openxmlformats.org/officeDocument/2006/relationships/hyperlink" Target="http://www.nexgenconstruction.com/" TargetMode="External"/><Relationship Id="rId174" Type="http://schemas.openxmlformats.org/officeDocument/2006/relationships/hyperlink" Target="https://recsolar.com/" TargetMode="External"/><Relationship Id="rId195" Type="http://schemas.openxmlformats.org/officeDocument/2006/relationships/hyperlink" Target="https://solarcraft.com/" TargetMode="External"/><Relationship Id="rId209" Type="http://schemas.openxmlformats.org/officeDocument/2006/relationships/hyperlink" Target="http://www.solarponics.com/" TargetMode="External"/><Relationship Id="rId220" Type="http://schemas.openxmlformats.org/officeDocument/2006/relationships/hyperlink" Target="http://www.ambrosesolar.com/" TargetMode="External"/><Relationship Id="rId241" Type="http://schemas.openxmlformats.org/officeDocument/2006/relationships/hyperlink" Target="https://www.buildzoom.com/contractor/synergistic-energy-services-inc" TargetMode="External"/><Relationship Id="rId15" Type="http://schemas.openxmlformats.org/officeDocument/2006/relationships/hyperlink" Target="http://www.valleyunique.com/" TargetMode="External"/><Relationship Id="rId36" Type="http://schemas.openxmlformats.org/officeDocument/2006/relationships/hyperlink" Target="http://www.airsunsolar.com/" TargetMode="External"/><Relationship Id="rId57" Type="http://schemas.openxmlformats.org/officeDocument/2006/relationships/hyperlink" Target="https://blueskyenergy.solar/" TargetMode="External"/><Relationship Id="rId78" Type="http://schemas.openxmlformats.org/officeDocument/2006/relationships/hyperlink" Target="http://www.cicusa.com/" TargetMode="External"/><Relationship Id="rId99" Type="http://schemas.openxmlformats.org/officeDocument/2006/relationships/hyperlink" Target="http://www.firstresponsesolar.com/" TargetMode="External"/><Relationship Id="rId101" Type="http://schemas.openxmlformats.org/officeDocument/2006/relationships/hyperlink" Target="http://www.freevolt.com/" TargetMode="External"/><Relationship Id="rId122" Type="http://schemas.openxmlformats.org/officeDocument/2006/relationships/hyperlink" Target="http://www.homegrownenergysolutions.com/" TargetMode="External"/><Relationship Id="rId143" Type="http://schemas.openxmlformats.org/officeDocument/2006/relationships/hyperlink" Target="http://www.kahnsolar.com/" TargetMode="External"/><Relationship Id="rId164" Type="http://schemas.openxmlformats.org/officeDocument/2006/relationships/hyperlink" Target="http://www.pacificwestinc.com/" TargetMode="External"/><Relationship Id="rId185" Type="http://schemas.openxmlformats.org/officeDocument/2006/relationships/hyperlink" Target="http://www.sempersolaris.com/" TargetMode="External"/><Relationship Id="rId4" Type="http://schemas.openxmlformats.org/officeDocument/2006/relationships/hyperlink" Target="http://www.hotpurpleenergy.com/" TargetMode="External"/><Relationship Id="rId9" Type="http://schemas.openxmlformats.org/officeDocument/2006/relationships/hyperlink" Target="http://www.day1solar.com/" TargetMode="External"/><Relationship Id="rId180" Type="http://schemas.openxmlformats.org/officeDocument/2006/relationships/hyperlink" Target="http://www.sandiegocountysolar.com/" TargetMode="External"/><Relationship Id="rId210" Type="http://schemas.openxmlformats.org/officeDocument/2006/relationships/hyperlink" Target="http://www.solarwinds-energy.com/" TargetMode="External"/><Relationship Id="rId215" Type="http://schemas.openxmlformats.org/officeDocument/2006/relationships/hyperlink" Target="http://www.starseedelectric.com/" TargetMode="External"/><Relationship Id="rId236" Type="http://schemas.openxmlformats.org/officeDocument/2006/relationships/hyperlink" Target="http://www.sunworksusa.com/" TargetMode="External"/><Relationship Id="rId26" Type="http://schemas.openxmlformats.org/officeDocument/2006/relationships/hyperlink" Target="http://www.xnergyusa.com/" TargetMode="External"/><Relationship Id="rId231" Type="http://schemas.openxmlformats.org/officeDocument/2006/relationships/hyperlink" Target="https://us.sunpower.com/" TargetMode="External"/><Relationship Id="rId47" Type="http://schemas.openxmlformats.org/officeDocument/2006/relationships/hyperlink" Target="http://www.apollohp.us/" TargetMode="External"/><Relationship Id="rId68" Type="http://schemas.openxmlformats.org/officeDocument/2006/relationships/hyperlink" Target="https://cinnamon.energy/" TargetMode="External"/><Relationship Id="rId89" Type="http://schemas.openxmlformats.org/officeDocument/2006/relationships/hyperlink" Target="https://electro-thermal.com/" TargetMode="External"/><Relationship Id="rId112" Type="http://schemas.openxmlformats.org/officeDocument/2006/relationships/hyperlink" Target="https://www.gotwattselectric.com/" TargetMode="External"/><Relationship Id="rId133" Type="http://schemas.openxmlformats.org/officeDocument/2006/relationships/hyperlink" Target="https://jamarpower.com/" TargetMode="External"/><Relationship Id="rId154" Type="http://schemas.openxmlformats.org/officeDocument/2006/relationships/hyperlink" Target="http://www.nrgupgrade.com/" TargetMode="External"/><Relationship Id="rId175" Type="http://schemas.openxmlformats.org/officeDocument/2006/relationships/hyperlink" Target="https://www.renovaenergy.com/" TargetMode="External"/><Relationship Id="rId196" Type="http://schemas.openxmlformats.org/officeDocument/2006/relationships/hyperlink" Target="http://www.solargaininc.com/" TargetMode="External"/><Relationship Id="rId200" Type="http://schemas.openxmlformats.org/officeDocument/2006/relationships/hyperlink" Target="https://www.solarprosinc.com/" TargetMode="External"/><Relationship Id="rId16" Type="http://schemas.openxmlformats.org/officeDocument/2006/relationships/hyperlink" Target="http://www.vectorgpm.com/" TargetMode="External"/><Relationship Id="rId221" Type="http://schemas.openxmlformats.org/officeDocument/2006/relationships/hyperlink" Target="http://www.sunriversolar.com/" TargetMode="External"/><Relationship Id="rId242" Type="http://schemas.openxmlformats.org/officeDocument/2006/relationships/hyperlink" Target="http://www.synergypower.com/" TargetMode="External"/><Relationship Id="rId37" Type="http://schemas.openxmlformats.org/officeDocument/2006/relationships/hyperlink" Target="https://www.albionpower.com/" TargetMode="External"/><Relationship Id="rId58" Type="http://schemas.openxmlformats.org/officeDocument/2006/relationships/hyperlink" Target="http://www.brightfuturesolarenergy.com/" TargetMode="External"/><Relationship Id="rId79" Type="http://schemas.openxmlformats.org/officeDocument/2006/relationships/hyperlink" Target="http://www.coolearthsolar.com/" TargetMode="External"/><Relationship Id="rId102" Type="http://schemas.openxmlformats.org/officeDocument/2006/relationships/hyperlink" Target="http://www.freevolt.com/" TargetMode="External"/><Relationship Id="rId123" Type="http://schemas.openxmlformats.org/officeDocument/2006/relationships/hyperlink" Target="http://www.homenes.com/" TargetMode="External"/><Relationship Id="rId144" Type="http://schemas.openxmlformats.org/officeDocument/2006/relationships/hyperlink" Target="http://www.mauzy.com/" TargetMode="External"/><Relationship Id="rId90" Type="http://schemas.openxmlformats.org/officeDocument/2006/relationships/hyperlink" Target="https://calleee.com/" TargetMode="External"/><Relationship Id="rId165" Type="http://schemas.openxmlformats.org/officeDocument/2006/relationships/hyperlink" Target="http://www.palomarsolar.com/" TargetMode="External"/><Relationship Id="rId186" Type="http://schemas.openxmlformats.org/officeDocument/2006/relationships/hyperlink" Target="http://www.sierrapacifichome.com/" TargetMode="External"/><Relationship Id="rId211" Type="http://schemas.openxmlformats.org/officeDocument/2006/relationships/hyperlink" Target="https://solteksolar.com/" TargetMode="External"/><Relationship Id="rId232" Type="http://schemas.openxmlformats.org/officeDocument/2006/relationships/hyperlink" Target="https://www.sunrun.com/" TargetMode="External"/><Relationship Id="rId27" Type="http://schemas.openxmlformats.org/officeDocument/2006/relationships/hyperlink" Target="http://www.yourenergysolutions.com/" TargetMode="External"/><Relationship Id="rId48" Type="http://schemas.openxmlformats.org/officeDocument/2006/relationships/hyperlink" Target="http://www.aws-solar.com/" TargetMode="External"/><Relationship Id="rId69" Type="http://schemas.openxmlformats.org/officeDocument/2006/relationships/hyperlink" Target="http://www.citadelrs.com/" TargetMode="External"/><Relationship Id="rId113" Type="http://schemas.openxmlformats.org/officeDocument/2006/relationships/hyperlink" Target="http://www.greeterandpower.com/" TargetMode="External"/><Relationship Id="rId134" Type="http://schemas.openxmlformats.org/officeDocument/2006/relationships/hyperlink" Target="http://www.jonasenergy.com/" TargetMode="External"/><Relationship Id="rId80" Type="http://schemas.openxmlformats.org/officeDocument/2006/relationships/hyperlink" Target="http://www.coronasolar.net/" TargetMode="External"/><Relationship Id="rId155" Type="http://schemas.openxmlformats.org/officeDocument/2006/relationships/hyperlink" Target="https://runonsun.solar/" TargetMode="External"/><Relationship Id="rId176" Type="http://schemas.openxmlformats.org/officeDocument/2006/relationships/hyperlink" Target="http://www.revel-energy.com/" TargetMode="External"/><Relationship Id="rId197" Type="http://schemas.openxmlformats.org/officeDocument/2006/relationships/hyperlink" Target="http://www.solargem.org/" TargetMode="External"/><Relationship Id="rId201" Type="http://schemas.openxmlformats.org/officeDocument/2006/relationships/hyperlink" Target="http://www.sresolar.com/" TargetMode="External"/><Relationship Id="rId222" Type="http://schemas.openxmlformats.org/officeDocument/2006/relationships/hyperlink" Target="http://www.nostalgicsgreen.com/" TargetMode="External"/><Relationship Id="rId243" Type="http://schemas.openxmlformats.org/officeDocument/2006/relationships/hyperlink" Target="http://www.synsolar.com/" TargetMode="External"/><Relationship Id="rId17" Type="http://schemas.openxmlformats.org/officeDocument/2006/relationships/hyperlink" Target="http://www.vivintsolar.com/" TargetMode="External"/><Relationship Id="rId38" Type="http://schemas.openxmlformats.org/officeDocument/2006/relationships/hyperlink" Target="http://www.alivesolar.com/" TargetMode="External"/><Relationship Id="rId59" Type="http://schemas.openxmlformats.org/officeDocument/2006/relationships/hyperlink" Target="http://www.wakeupthesun.com/" TargetMode="External"/><Relationship Id="rId103" Type="http://schemas.openxmlformats.org/officeDocument/2006/relationships/hyperlink" Target="http://www.frescosolar.com/" TargetMode="External"/><Relationship Id="rId124" Type="http://schemas.openxmlformats.org/officeDocument/2006/relationships/hyperlink" Target="http://www.hotwattstechnology.com/" TargetMode="External"/><Relationship Id="rId70" Type="http://schemas.openxmlformats.org/officeDocument/2006/relationships/hyperlink" Target="http://www.cleactorenergy.com/" TargetMode="External"/><Relationship Id="rId91" Type="http://schemas.openxmlformats.org/officeDocument/2006/relationships/hyperlink" Target="http://www.sierraroofing.com/" TargetMode="External"/><Relationship Id="rId145" Type="http://schemas.openxmlformats.org/officeDocument/2006/relationships/hyperlink" Target="http://www.m2multimedia.com/" TargetMode="External"/><Relationship Id="rId166" Type="http://schemas.openxmlformats.org/officeDocument/2006/relationships/hyperlink" Target="https://perrybuiltconstruction.com/" TargetMode="External"/><Relationship Id="rId187" Type="http://schemas.openxmlformats.org/officeDocument/2006/relationships/hyperlink" Target="http://www.sig.solar/" TargetMode="External"/><Relationship Id="rId1" Type="http://schemas.openxmlformats.org/officeDocument/2006/relationships/hyperlink" Target="http://www.ies.solar/" TargetMode="External"/><Relationship Id="rId212" Type="http://schemas.openxmlformats.org/officeDocument/2006/relationships/hyperlink" Target="http://www.sonomarinsolar.com/" TargetMode="External"/><Relationship Id="rId233" Type="http://schemas.openxmlformats.org/officeDocument/2006/relationships/hyperlink" Target="http://www.sunstorsolar.com/" TargetMode="External"/><Relationship Id="rId28" Type="http://schemas.openxmlformats.org/officeDocument/2006/relationships/hyperlink" Target="http://www.4-yes.com/" TargetMode="External"/><Relationship Id="rId49" Type="http://schemas.openxmlformats.org/officeDocument/2006/relationships/hyperlink" Target="http://www.aztecsolar.com/" TargetMode="External"/><Relationship Id="rId114" Type="http://schemas.openxmlformats.org/officeDocument/2006/relationships/hyperlink" Target="http://www.greenwolfenergy.net/" TargetMode="External"/><Relationship Id="rId60" Type="http://schemas.openxmlformats.org/officeDocument/2006/relationships/hyperlink" Target="http://www.brightpower.com/" TargetMode="External"/><Relationship Id="rId81" Type="http://schemas.openxmlformats.org/officeDocument/2006/relationships/hyperlink" Target="http://www.cosmicsolar.com/" TargetMode="External"/><Relationship Id="rId135" Type="http://schemas.openxmlformats.org/officeDocument/2006/relationships/hyperlink" Target="http://www.kleinpowerelectric.com/" TargetMode="External"/><Relationship Id="rId156" Type="http://schemas.openxmlformats.org/officeDocument/2006/relationships/hyperlink" Target="http://www.northstatesolarenergy.com/" TargetMode="External"/><Relationship Id="rId177" Type="http://schemas.openxmlformats.org/officeDocument/2006/relationships/hyperlink" Target="http://www.rhainc.com/" TargetMode="External"/><Relationship Id="rId198" Type="http://schemas.openxmlformats.org/officeDocument/2006/relationships/hyperlink" Target="http://www.solarmaintenancepros.com/" TargetMode="External"/><Relationship Id="rId202" Type="http://schemas.openxmlformats.org/officeDocument/2006/relationships/hyperlink" Target="http://www.solarsavingsdirect.com/" TargetMode="External"/><Relationship Id="rId223" Type="http://schemas.openxmlformats.org/officeDocument/2006/relationships/hyperlink" Target="http://www.suncenergysolutions.com/" TargetMode="External"/><Relationship Id="rId244" Type="http://schemas.openxmlformats.org/officeDocument/2006/relationships/hyperlink" Target="http://www.taylor-energy.com/" TargetMode="External"/><Relationship Id="rId18" Type="http://schemas.openxmlformats.org/officeDocument/2006/relationships/hyperlink" Target="http://www.voltageriver.com/" TargetMode="External"/><Relationship Id="rId39" Type="http://schemas.openxmlformats.org/officeDocument/2006/relationships/hyperlink" Target="http://www.aliveindustries.com/" TargetMode="External"/><Relationship Id="rId50" Type="http://schemas.openxmlformats.org/officeDocument/2006/relationships/hyperlink" Target="http://www.bnbsolar.com/" TargetMode="External"/><Relationship Id="rId104" Type="http://schemas.openxmlformats.org/officeDocument/2006/relationships/hyperlink" Target="http://www.fresh-energy-systems.com/" TargetMode="External"/><Relationship Id="rId125" Type="http://schemas.openxmlformats.org/officeDocument/2006/relationships/hyperlink" Target="http://www.huffmansolar.com/" TargetMode="External"/><Relationship Id="rId146" Type="http://schemas.openxmlformats.org/officeDocument/2006/relationships/hyperlink" Target="http://www.gardnerenergy.com/" TargetMode="External"/><Relationship Id="rId167" Type="http://schemas.openxmlformats.org/officeDocument/2006/relationships/hyperlink" Target="https://photonbrothers.com/" TargetMode="External"/><Relationship Id="rId188" Type="http://schemas.openxmlformats.org/officeDocument/2006/relationships/hyperlink" Target="http://www.simmitri.com/" TargetMode="External"/><Relationship Id="rId71" Type="http://schemas.openxmlformats.org/officeDocument/2006/relationships/hyperlink" Target="http://www.cleansolar.com/" TargetMode="External"/><Relationship Id="rId92" Type="http://schemas.openxmlformats.org/officeDocument/2006/relationships/hyperlink" Target="http://www.enable-energy.com/" TargetMode="External"/><Relationship Id="rId213" Type="http://schemas.openxmlformats.org/officeDocument/2006/relationships/hyperlink" Target="http://www.spreckenergy.com/" TargetMode="External"/><Relationship Id="rId234" Type="http://schemas.openxmlformats.org/officeDocument/2006/relationships/hyperlink" Target="https://www.sunstreet.com/home" TargetMode="External"/><Relationship Id="rId2" Type="http://schemas.openxmlformats.org/officeDocument/2006/relationships/hyperlink" Target="http://www.solarforward.com/" TargetMode="External"/><Relationship Id="rId29" Type="http://schemas.openxmlformats.org/officeDocument/2006/relationships/hyperlink" Target="http://www.zeroea.com/" TargetMode="External"/><Relationship Id="rId40" Type="http://schemas.openxmlformats.org/officeDocument/2006/relationships/hyperlink" Target="http://www.alphaenergyinc.com/" TargetMode="External"/><Relationship Id="rId115" Type="http://schemas.openxmlformats.org/officeDocument/2006/relationships/hyperlink" Target="https://gridalternatives.org/" TargetMode="External"/><Relationship Id="rId136" Type="http://schemas.openxmlformats.org/officeDocument/2006/relationships/hyperlink" Target="http://www.kotaenergygroup.com/" TargetMode="External"/><Relationship Id="rId157" Type="http://schemas.openxmlformats.org/officeDocument/2006/relationships/hyperlink" Target="http://www.northercificpower.com/" TargetMode="External"/><Relationship Id="rId178" Type="http://schemas.openxmlformats.org/officeDocument/2006/relationships/hyperlink" Target="https://www.wecareroyalaire.com/" TargetMode="External"/><Relationship Id="rId61" Type="http://schemas.openxmlformats.org/officeDocument/2006/relationships/hyperlink" Target="http://www.brightensolarco.com/" TargetMode="External"/><Relationship Id="rId82" Type="http://schemas.openxmlformats.org/officeDocument/2006/relationships/hyperlink" Target="http://www.delsolenergy.com/" TargetMode="External"/><Relationship Id="rId199" Type="http://schemas.openxmlformats.org/officeDocument/2006/relationships/hyperlink" Target="http://www.solaroptimum.com/" TargetMode="External"/><Relationship Id="rId203" Type="http://schemas.openxmlformats.org/officeDocument/2006/relationships/hyperlink" Target="http://www.solarspectrom.com/" TargetMode="External"/><Relationship Id="rId19" Type="http://schemas.openxmlformats.org/officeDocument/2006/relationships/hyperlink" Target="http://www.w3solar.com/" TargetMode="External"/><Relationship Id="rId224" Type="http://schemas.openxmlformats.org/officeDocument/2006/relationships/hyperlink" Target="http://www.sungenix.com/" TargetMode="External"/><Relationship Id="rId245" Type="http://schemas.openxmlformats.org/officeDocument/2006/relationships/hyperlink" Target="http://www.treepublic.com/" TargetMode="External"/><Relationship Id="rId30" Type="http://schemas.openxmlformats.org/officeDocument/2006/relationships/hyperlink" Target="http://www.1stchoicedevelopment.com/" TargetMode="External"/><Relationship Id="rId105" Type="http://schemas.openxmlformats.org/officeDocument/2006/relationships/hyperlink" Target="http://www.energysavres.com/" TargetMode="External"/><Relationship Id="rId126" Type="http://schemas.openxmlformats.org/officeDocument/2006/relationships/hyperlink" Target="http://www.ilovemysolar.com/" TargetMode="External"/><Relationship Id="rId147" Type="http://schemas.openxmlformats.org/officeDocument/2006/relationships/hyperlink" Target="http://www.meirenewables.com/" TargetMode="External"/><Relationship Id="rId168" Type="http://schemas.openxmlformats.org/officeDocument/2006/relationships/hyperlink" Target="http://www.plugitinsolar.com/" TargetMode="External"/><Relationship Id="rId51" Type="http://schemas.openxmlformats.org/officeDocument/2006/relationships/hyperlink" Target="http://www.baker-electric.com/" TargetMode="External"/><Relationship Id="rId72" Type="http://schemas.openxmlformats.org/officeDocument/2006/relationships/hyperlink" Target="http://www.go-cleantech.com/" TargetMode="External"/><Relationship Id="rId93" Type="http://schemas.openxmlformats.org/officeDocument/2006/relationships/hyperlink" Target="https://www.enelx.com/en" TargetMode="External"/><Relationship Id="rId189" Type="http://schemas.openxmlformats.org/officeDocument/2006/relationships/hyperlink" Target="http://www.simplysolarsocal.com/" TargetMode="External"/><Relationship Id="rId3" Type="http://schemas.openxmlformats.org/officeDocument/2006/relationships/hyperlink" Target="http://www.mimeos.net/" TargetMode="External"/><Relationship Id="rId214" Type="http://schemas.openxmlformats.org/officeDocument/2006/relationships/hyperlink" Target="http://www.stada-energy.com/" TargetMode="External"/><Relationship Id="rId235" Type="http://schemas.openxmlformats.org/officeDocument/2006/relationships/hyperlink" Target="http://www.sunterrasolar.com/" TargetMode="External"/><Relationship Id="rId116" Type="http://schemas.openxmlformats.org/officeDocument/2006/relationships/hyperlink" Target="http://www.gshomesca.com/" TargetMode="External"/><Relationship Id="rId137" Type="http://schemas.openxmlformats.org/officeDocument/2006/relationships/hyperlink" Target="https://www.kuubixenergy.com/" TargetMode="External"/><Relationship Id="rId158" Type="http://schemas.openxmlformats.org/officeDocument/2006/relationships/hyperlink" Target="http://www.nrgcleanpower.com/" TargetMode="External"/><Relationship Id="rId20" Type="http://schemas.openxmlformats.org/officeDocument/2006/relationships/hyperlink" Target="http://www.sixriverssolar.com/" TargetMode="External"/><Relationship Id="rId41" Type="http://schemas.openxmlformats.org/officeDocument/2006/relationships/hyperlink" Target="http://www.altadenasolar.com/" TargetMode="External"/><Relationship Id="rId62" Type="http://schemas.openxmlformats.org/officeDocument/2006/relationships/hyperlink" Target="https://www.calcomenergy.com/" TargetMode="External"/><Relationship Id="rId83" Type="http://schemas.openxmlformats.org/officeDocument/2006/relationships/hyperlink" Target="http://www.mrcool4ac.com/" TargetMode="External"/><Relationship Id="rId179" Type="http://schemas.openxmlformats.org/officeDocument/2006/relationships/hyperlink" Target="http://www.sagerenew.com/" TargetMode="External"/><Relationship Id="rId190" Type="http://schemas.openxmlformats.org/officeDocument/2006/relationships/hyperlink" Target="http://www.skellyelectric.com/" TargetMode="External"/><Relationship Id="rId204" Type="http://schemas.openxmlformats.org/officeDocument/2006/relationships/hyperlink" Target="http://www.solarsymphony.com/" TargetMode="External"/><Relationship Id="rId225" Type="http://schemas.openxmlformats.org/officeDocument/2006/relationships/hyperlink" Target="http://www.sungreensystems.com/" TargetMode="External"/><Relationship Id="rId246" Type="http://schemas.openxmlformats.org/officeDocument/2006/relationships/hyperlink" Target="https://treeium.com/" TargetMode="External"/><Relationship Id="rId106" Type="http://schemas.openxmlformats.org/officeDocument/2006/relationships/hyperlink" Target="http://www.gogreensolar.com/" TargetMode="External"/><Relationship Id="rId127" Type="http://schemas.openxmlformats.org/officeDocument/2006/relationships/hyperlink" Target="http://www.ilumsolar.com/" TargetMode="External"/><Relationship Id="rId10" Type="http://schemas.openxmlformats.org/officeDocument/2006/relationships/hyperlink" Target="http://www.sunonenergy.com/" TargetMode="External"/><Relationship Id="rId31" Type="http://schemas.openxmlformats.org/officeDocument/2006/relationships/hyperlink" Target="http://www.3fficient.com/" TargetMode="External"/><Relationship Id="rId52" Type="http://schemas.openxmlformats.org/officeDocument/2006/relationships/hyperlink" Target="http://www.bakerhomeenergy.com/" TargetMode="External"/><Relationship Id="rId73" Type="http://schemas.openxmlformats.org/officeDocument/2006/relationships/hyperlink" Target="http://www.climatesolarnow.com/" TargetMode="External"/><Relationship Id="rId94" Type="http://schemas.openxmlformats.org/officeDocument/2006/relationships/hyperlink" Target="http://www.eigsolar.com/" TargetMode="External"/><Relationship Id="rId148" Type="http://schemas.openxmlformats.org/officeDocument/2006/relationships/hyperlink" Target="http://www.michaelandsunsolar.com/" TargetMode="External"/><Relationship Id="rId169" Type="http://schemas.openxmlformats.org/officeDocument/2006/relationships/hyperlink" Target="http://www.promiseenergy.com/"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554B-D477-4CC6-AAEB-D571914CE085}">
  <sheetPr>
    <tabColor theme="2" tint="-0.249977111117893"/>
  </sheetPr>
  <dimension ref="B1:X29"/>
  <sheetViews>
    <sheetView showRowColHeaders="0" tabSelected="1" workbookViewId="0">
      <selection activeCell="B5" sqref="B5"/>
    </sheetView>
  </sheetViews>
  <sheetFormatPr defaultColWidth="15.7109375" defaultRowHeight="18.75" x14ac:dyDescent="0.3"/>
  <cols>
    <col min="1" max="1" width="5.140625" style="66" customWidth="1"/>
    <col min="2" max="2" width="54.28515625" style="69" customWidth="1"/>
    <col min="3" max="3" width="124.42578125" style="70" customWidth="1"/>
    <col min="4" max="4" width="11.140625" style="66" customWidth="1"/>
    <col min="5" max="5" width="13" style="66" customWidth="1"/>
    <col min="6" max="6" width="13.7109375" style="66" bestFit="1" customWidth="1"/>
    <col min="7" max="7" width="13.7109375" style="67" bestFit="1" customWidth="1"/>
    <col min="8" max="8" width="15.5703125" style="66" bestFit="1" customWidth="1"/>
    <col min="9" max="9" width="15.140625" style="68" customWidth="1"/>
    <col min="10" max="10" width="12.140625" style="68" bestFit="1" customWidth="1"/>
    <col min="11" max="11" width="9" style="66" bestFit="1" customWidth="1"/>
    <col min="12" max="12" width="12.85546875" style="66" customWidth="1"/>
    <col min="13" max="13" width="11.7109375" style="68" bestFit="1" customWidth="1"/>
    <col min="14" max="14" width="12.85546875" style="68" customWidth="1"/>
    <col min="15" max="15" width="16.140625" style="68" customWidth="1"/>
    <col min="16" max="16" width="14.42578125" style="66" bestFit="1" customWidth="1"/>
    <col min="17" max="17" width="26.85546875" style="66" bestFit="1" customWidth="1"/>
    <col min="18" max="18" width="32" style="66" bestFit="1" customWidth="1"/>
    <col min="19" max="19" width="54.7109375" style="66" bestFit="1" customWidth="1"/>
    <col min="20" max="20" width="32" style="66" bestFit="1" customWidth="1"/>
    <col min="21" max="21" width="50.7109375" style="68" customWidth="1"/>
    <col min="22" max="22" width="30.140625" style="66" bestFit="1" customWidth="1"/>
    <col min="23" max="24" width="50.7109375" style="68" customWidth="1"/>
    <col min="25" max="16384" width="15.7109375" style="66"/>
  </cols>
  <sheetData>
    <row r="1" spans="2:3" ht="19.5" thickBot="1" x14ac:dyDescent="0.35"/>
    <row r="2" spans="2:3" ht="19.5" thickTop="1" thickBot="1" x14ac:dyDescent="0.3">
      <c r="B2" s="79" t="s">
        <v>1430</v>
      </c>
      <c r="C2" s="79" t="s">
        <v>1432</v>
      </c>
    </row>
    <row r="3" spans="2:3" ht="20.25" thickTop="1" thickBot="1" x14ac:dyDescent="0.35"/>
    <row r="4" spans="2:3" ht="33" thickTop="1" thickBot="1" x14ac:dyDescent="0.3">
      <c r="B4" s="65" t="s">
        <v>1429</v>
      </c>
      <c r="C4" s="87" t="s">
        <v>1433</v>
      </c>
    </row>
    <row r="5" spans="2:3" ht="20.25" thickTop="1" thickBot="1" x14ac:dyDescent="0.35">
      <c r="B5" s="85" t="s">
        <v>102</v>
      </c>
    </row>
    <row r="6" spans="2:3" ht="20.25" thickTop="1" thickBot="1" x14ac:dyDescent="0.35"/>
    <row r="7" spans="2:3" ht="19.5" thickTop="1" x14ac:dyDescent="0.25">
      <c r="B7" s="80" t="s">
        <v>848</v>
      </c>
      <c r="C7" s="52" t="str">
        <f>VLOOKUP($B$5,'Company Info'!$A$2:$X$261,2,FALSE)</f>
        <v>www.Stem.com</v>
      </c>
    </row>
    <row r="8" spans="2:3" x14ac:dyDescent="0.25">
      <c r="B8" s="81" t="s">
        <v>849</v>
      </c>
      <c r="C8" s="53" t="str">
        <f>VLOOKUP($B$5,'Company Info'!$A$2:$X$261,3,FALSE)</f>
        <v>support@stem.com</v>
      </c>
    </row>
    <row r="9" spans="2:3" x14ac:dyDescent="0.25">
      <c r="B9" s="81" t="s">
        <v>1214</v>
      </c>
      <c r="C9" s="53" t="str">
        <f>VLOOKUP($B$5,'Company Info'!$A$2:$X$261,4,FALSE)</f>
        <v>N/A</v>
      </c>
    </row>
    <row r="10" spans="2:3" x14ac:dyDescent="0.25">
      <c r="B10" s="81" t="s">
        <v>1220</v>
      </c>
      <c r="C10" s="53" t="str">
        <f>VLOOKUP($B$5,'Company Info'!$A$2:$X$261,5,FALSE)</f>
        <v>N/A</v>
      </c>
    </row>
    <row r="11" spans="2:3" ht="31.5" x14ac:dyDescent="0.25">
      <c r="B11" s="82" t="s">
        <v>958</v>
      </c>
      <c r="C11" s="54">
        <f>VLOOKUP($B$5,'Company Info'!$A$2:$X$261,6,FALSE)</f>
        <v>8773747836</v>
      </c>
    </row>
    <row r="12" spans="2:3" x14ac:dyDescent="0.25">
      <c r="B12" s="82" t="s">
        <v>955</v>
      </c>
      <c r="C12" s="54" t="str">
        <f>VLOOKUP($B$5,'Company Info'!$A$2:$X$261,7,FALSE)</f>
        <v>N/A</v>
      </c>
    </row>
    <row r="13" spans="2:3" ht="153.75" customHeight="1" x14ac:dyDescent="0.25">
      <c r="B13" s="82" t="s">
        <v>846</v>
      </c>
      <c r="C13" s="53" t="str">
        <f>VLOOKUP($B$5,'Counties Served'!$A$2:$B$261,2,FALSE)</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row>
    <row r="14" spans="2:3" ht="41.25" customHeight="1" x14ac:dyDescent="0.25">
      <c r="B14" s="82" t="s">
        <v>1304</v>
      </c>
      <c r="C14" s="53" t="str">
        <f>VLOOKUP($B$5,'Languages Spoken'!$A$2:$B$261,2,FALSE)</f>
        <v>English Only</v>
      </c>
    </row>
    <row r="15" spans="2:3" x14ac:dyDescent="0.25">
      <c r="B15" s="83" t="s">
        <v>844</v>
      </c>
      <c r="C15" s="53" t="str">
        <f>VLOOKUP($B$5,'Company Info'!$A$2:$X$261,8,FALSE)</f>
        <v>Yes</v>
      </c>
    </row>
    <row r="16" spans="2:3" x14ac:dyDescent="0.25">
      <c r="B16" s="83" t="s">
        <v>845</v>
      </c>
      <c r="C16" s="53">
        <f>VLOOKUP($B$5,'Company Info'!$A$2:$X$261,9,FALSE)</f>
        <v>999142</v>
      </c>
    </row>
    <row r="17" spans="2:3" x14ac:dyDescent="0.25">
      <c r="B17" s="83" t="s">
        <v>1217</v>
      </c>
      <c r="C17" s="53" t="str">
        <f>VLOOKUP($B$5,'Company Info'!$A$2:$X$261,10,FALSE)</f>
        <v>N/A</v>
      </c>
    </row>
    <row r="18" spans="2:3" ht="37.5" x14ac:dyDescent="0.25">
      <c r="B18" s="83" t="s">
        <v>1422</v>
      </c>
      <c r="C18" s="53" t="str">
        <f>VLOOKUP($B$5,'Building Type'!$A$3:$B$262,2,FALSE)</f>
        <v>Residential Customers
Non-Residential Customers</v>
      </c>
    </row>
    <row r="19" spans="2:3" ht="37.5" x14ac:dyDescent="0.25">
      <c r="B19" s="83" t="s">
        <v>1423</v>
      </c>
      <c r="C19" s="53" t="str">
        <f>VLOOKUP($B$5,'Housing Type'!$A$3:$B$262,2,FALSE)</f>
        <v>Single-Family Homes
Multifamily Home Properties</v>
      </c>
    </row>
    <row r="20" spans="2:3" ht="37.5" x14ac:dyDescent="0.25">
      <c r="B20" s="83" t="s">
        <v>1424</v>
      </c>
      <c r="C20" s="53" t="str">
        <f>VLOOKUP($B$5,'Resident Type'!$A$3:$B$262,2,FALSE)</f>
        <v>Homeowners
Renters</v>
      </c>
    </row>
    <row r="21" spans="2:3" ht="31.5" x14ac:dyDescent="0.25">
      <c r="B21" s="83" t="s">
        <v>1207</v>
      </c>
      <c r="C21" s="53" t="str">
        <f>VLOOKUP($B$5,'Company Info'!$A$2:$X$261,17,FALSE)</f>
        <v>Yes</v>
      </c>
    </row>
    <row r="22" spans="2:3" ht="47.25" x14ac:dyDescent="0.25">
      <c r="B22" s="83" t="s">
        <v>1211</v>
      </c>
      <c r="C22" s="53" t="str">
        <f>VLOOKUP($B$5,'Company Info'!$A$2:$X$261,18,FALSE)</f>
        <v>Yes</v>
      </c>
    </row>
    <row r="23" spans="2:3" ht="63" x14ac:dyDescent="0.25">
      <c r="B23" s="83" t="s">
        <v>1208</v>
      </c>
      <c r="C23" s="53" t="str">
        <f>VLOOKUP($B$5,'Company Info'!$A$2:$X$261,19,FALSE)</f>
        <v>Yes</v>
      </c>
    </row>
    <row r="24" spans="2:3" ht="31.5" x14ac:dyDescent="0.25">
      <c r="B24" s="83" t="s">
        <v>1212</v>
      </c>
      <c r="C24" s="53" t="str">
        <f>VLOOKUP($B$5,'Company Info'!$A$2:$X$261,20,FALSE)</f>
        <v>No</v>
      </c>
    </row>
    <row r="25" spans="2:3" ht="132" customHeight="1" x14ac:dyDescent="0.25">
      <c r="B25" s="83" t="s">
        <v>963</v>
      </c>
      <c r="C25" s="53" t="str">
        <f>VLOOKUP($B$5,'Company Info'!$A$2:$X$261,21,FALSE)</f>
        <v>No Reply</v>
      </c>
    </row>
    <row r="26" spans="2:3" ht="31.5" x14ac:dyDescent="0.25">
      <c r="B26" s="83" t="s">
        <v>1209</v>
      </c>
      <c r="C26" s="53" t="str">
        <f>VLOOKUP($B$5,'Company Info'!$A$2:$X$261,22,FALSE)</f>
        <v>Unknown</v>
      </c>
    </row>
    <row r="27" spans="2:3" ht="236.25" customHeight="1" x14ac:dyDescent="0.25">
      <c r="B27" s="83" t="s">
        <v>965</v>
      </c>
      <c r="C27" s="53" t="str">
        <f>VLOOKUP($B$5,'Company Info'!$A$2:$X$261,23,FALSE)</f>
        <v>No Reply</v>
      </c>
    </row>
    <row r="28" spans="2:3" ht="164.25" customHeight="1" thickBot="1" x14ac:dyDescent="0.3">
      <c r="B28" s="84" t="s">
        <v>964</v>
      </c>
      <c r="C28" s="55" t="str">
        <f>VLOOKUP($B$5,'Company Info'!$A$2:$X$261,24,FALSE)</f>
        <v>Stem builds and operates the largest digitally connected energy storage network for our customers. Our world class AI platform optimizes the value of our customers' energy assets and facilitates their participation in energy markets, yielding economic and resiliency benefits while accelerating renewable adoption.</v>
      </c>
    </row>
    <row r="29" spans="2:3" ht="19.5" thickTop="1" x14ac:dyDescent="0.3"/>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959" yWindow="352" count="1">
        <x14:dataValidation type="list" allowBlank="1" showInputMessage="1" showErrorMessage="1" xr:uid="{D4C645C3-102A-4149-89E6-4DAD02458BC0}">
          <x14:formula1>
            <xm:f>'Company Info'!$A$2:$A$261</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1705-F14C-4826-8C25-6AD94C4CA54E}">
  <sheetPr>
    <tabColor theme="6" tint="0.39997558519241921"/>
  </sheetPr>
  <dimension ref="B1:X345"/>
  <sheetViews>
    <sheetView showRowColHeaders="0" workbookViewId="0">
      <selection activeCell="B8" sqref="B8"/>
    </sheetView>
  </sheetViews>
  <sheetFormatPr defaultColWidth="15.7109375" defaultRowHeight="18.75" x14ac:dyDescent="0.3"/>
  <cols>
    <col min="1" max="1" width="3.42578125" style="71" customWidth="1"/>
    <col min="2" max="2" width="51.5703125" style="76" customWidth="1"/>
    <col min="3" max="3" width="129.42578125" style="77" customWidth="1"/>
    <col min="4" max="4" width="11.140625" style="71" customWidth="1"/>
    <col min="5" max="5" width="13" style="71" customWidth="1"/>
    <col min="6" max="6" width="43" style="71" customWidth="1"/>
    <col min="7" max="7" width="13.7109375" style="74" bestFit="1" customWidth="1"/>
    <col min="8" max="8" width="15.5703125" style="71" bestFit="1" customWidth="1"/>
    <col min="9" max="9" width="15.140625" style="75" customWidth="1"/>
    <col min="10" max="10" width="12.140625" style="75" bestFit="1" customWidth="1"/>
    <col min="11" max="11" width="9" style="71" bestFit="1" customWidth="1"/>
    <col min="12" max="12" width="12.85546875" style="71" customWidth="1"/>
    <col min="13" max="13" width="11.7109375" style="75" bestFit="1" customWidth="1"/>
    <col min="14" max="14" width="12.85546875" style="75" customWidth="1"/>
    <col min="15" max="15" width="16.140625" style="75" customWidth="1"/>
    <col min="16" max="16" width="14.42578125" style="71" bestFit="1" customWidth="1"/>
    <col min="17" max="17" width="26.85546875" style="71" bestFit="1" customWidth="1"/>
    <col min="18" max="18" width="32" style="71" bestFit="1" customWidth="1"/>
    <col min="19" max="19" width="54.7109375" style="71" bestFit="1" customWidth="1"/>
    <col min="20" max="20" width="32" style="71" bestFit="1" customWidth="1"/>
    <col min="21" max="21" width="50.7109375" style="75" customWidth="1"/>
    <col min="22" max="22" width="30.140625" style="71" bestFit="1" customWidth="1"/>
    <col min="23" max="24" width="50.7109375" style="75" customWidth="1"/>
    <col min="25" max="16384" width="15.7109375" style="71"/>
  </cols>
  <sheetData>
    <row r="1" spans="2:6" ht="19.5" thickBot="1" x14ac:dyDescent="0.35"/>
    <row r="2" spans="2:6" ht="21.75" thickTop="1" thickBot="1" x14ac:dyDescent="0.35">
      <c r="B2" s="78" t="s">
        <v>1431</v>
      </c>
      <c r="C2" s="78" t="s">
        <v>1432</v>
      </c>
    </row>
    <row r="3" spans="2:6" ht="20.25" thickTop="1" thickBot="1" x14ac:dyDescent="0.35"/>
    <row r="4" spans="2:6" ht="33" thickTop="1" thickBot="1" x14ac:dyDescent="0.3">
      <c r="B4" s="65" t="s">
        <v>1428</v>
      </c>
      <c r="C4" s="86" t="s">
        <v>1433</v>
      </c>
    </row>
    <row r="5" spans="2:6" ht="20.25" thickTop="1" thickBot="1" x14ac:dyDescent="0.35">
      <c r="B5" s="85" t="s">
        <v>1241</v>
      </c>
    </row>
    <row r="6" spans="2:6" ht="20.25" thickTop="1" thickBot="1" x14ac:dyDescent="0.35">
      <c r="F6" s="73"/>
    </row>
    <row r="7" spans="2:6" ht="33.75" thickTop="1" thickBot="1" x14ac:dyDescent="0.35">
      <c r="B7" s="65" t="s">
        <v>1429</v>
      </c>
      <c r="F7" s="73"/>
    </row>
    <row r="8" spans="2:6" ht="20.25" thickTop="1" thickBot="1" x14ac:dyDescent="0.3">
      <c r="B8" s="85" t="s">
        <v>857</v>
      </c>
      <c r="C8" s="73"/>
    </row>
    <row r="9" spans="2:6" ht="20.25" thickTop="1" thickBot="1" x14ac:dyDescent="0.35"/>
    <row r="10" spans="2:6" ht="19.5" thickTop="1" x14ac:dyDescent="0.25">
      <c r="B10" s="56" t="s">
        <v>848</v>
      </c>
      <c r="C10" s="61" t="str">
        <f>VLOOKUP($B$8,'Company Info'!$A$2:$X$261,2,FALSE)</f>
        <v>www.1stchoicedevelopment.com</v>
      </c>
    </row>
    <row r="11" spans="2:6" x14ac:dyDescent="0.25">
      <c r="B11" s="57" t="s">
        <v>849</v>
      </c>
      <c r="C11" s="62" t="str">
        <f>VLOOKUP($B$8,'Company Info'!$A$2:$X$261,3,FALSE)</f>
        <v>info@1stchoicesince1989.com</v>
      </c>
    </row>
    <row r="12" spans="2:6" x14ac:dyDescent="0.25">
      <c r="B12" s="57" t="s">
        <v>1214</v>
      </c>
      <c r="C12" s="62" t="str">
        <f>VLOOKUP($B$8,'Company Info'!$A$2:$X$261,4,FALSE)</f>
        <v>N/A</v>
      </c>
    </row>
    <row r="13" spans="2:6" x14ac:dyDescent="0.25">
      <c r="B13" s="57" t="s">
        <v>1220</v>
      </c>
      <c r="C13" s="62" t="str">
        <f>VLOOKUP($B$8,'Company Info'!$A$2:$X$261,5,FALSE)</f>
        <v>N/A</v>
      </c>
    </row>
    <row r="14" spans="2:6" ht="31.5" x14ac:dyDescent="0.25">
      <c r="B14" s="58" t="s">
        <v>958</v>
      </c>
      <c r="C14" s="63">
        <f>VLOOKUP($B$8,'Company Info'!$A$2:$X$261,6,FALSE)</f>
        <v>8442923700</v>
      </c>
    </row>
    <row r="15" spans="2:6" x14ac:dyDescent="0.25">
      <c r="B15" s="58" t="s">
        <v>955</v>
      </c>
      <c r="C15" s="63" t="str">
        <f>VLOOKUP($B$8,'Company Info'!$A$2:$X$261,7,FALSE)</f>
        <v>N/A</v>
      </c>
    </row>
    <row r="16" spans="2:6" ht="109.5" customHeight="1" x14ac:dyDescent="0.25">
      <c r="B16" s="58" t="s">
        <v>846</v>
      </c>
      <c r="C16" s="62" t="str">
        <f>VLOOKUP($B$8,'Counties Served'!$A$2:$B$261,2,FALSE)</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row>
    <row r="17" spans="2:3" ht="78.75" customHeight="1" x14ac:dyDescent="0.25">
      <c r="B17" s="58" t="s">
        <v>1304</v>
      </c>
      <c r="C17" s="62" t="str">
        <f>VLOOKUP($B$8,'Languages Spoken'!$A$2:$B$261,2,FALSE)</f>
        <v>English,  Korean,  Spanish</v>
      </c>
    </row>
    <row r="18" spans="2:3" x14ac:dyDescent="0.25">
      <c r="B18" s="59" t="s">
        <v>844</v>
      </c>
      <c r="C18" s="62" t="str">
        <f>VLOOKUP($B$8,'Company Info'!$A$2:$X$261,8,FALSE)</f>
        <v>Yes</v>
      </c>
    </row>
    <row r="19" spans="2:3" x14ac:dyDescent="0.25">
      <c r="B19" s="59" t="s">
        <v>845</v>
      </c>
      <c r="C19" s="62">
        <f>VLOOKUP($B$8,'Company Info'!$A$2:$X$261,9,FALSE)</f>
        <v>576474</v>
      </c>
    </row>
    <row r="20" spans="2:3" x14ac:dyDescent="0.25">
      <c r="B20" s="59" t="s">
        <v>1217</v>
      </c>
      <c r="C20" s="62" t="str">
        <f>VLOOKUP($B$8,'Company Info'!$A$2:$X$261,10,FALSE)</f>
        <v>N/A</v>
      </c>
    </row>
    <row r="21" spans="2:3" ht="37.5" x14ac:dyDescent="0.25">
      <c r="B21" s="59" t="s">
        <v>1422</v>
      </c>
      <c r="C21" s="62" t="str">
        <f>VLOOKUP($B$8,'Building Type'!$A$3:$B$262,2,FALSE)</f>
        <v>Residential Customers
Non-Residential Customers</v>
      </c>
    </row>
    <row r="22" spans="2:3" ht="37.5" x14ac:dyDescent="0.25">
      <c r="B22" s="59" t="s">
        <v>1423</v>
      </c>
      <c r="C22" s="62" t="str">
        <f>VLOOKUP($B$8,'Housing Type'!$A$3:$B$262,2,FALSE)</f>
        <v>Single-Family Homes
Multifamily Home Properties</v>
      </c>
    </row>
    <row r="23" spans="2:3" x14ac:dyDescent="0.25">
      <c r="B23" s="59" t="s">
        <v>1424</v>
      </c>
      <c r="C23" s="62" t="str">
        <f>VLOOKUP($B$8,'Resident Type'!$A$3:$B$262,2,FALSE)</f>
        <v>Homeowners</v>
      </c>
    </row>
    <row r="24" spans="2:3" ht="31.5" x14ac:dyDescent="0.25">
      <c r="B24" s="59" t="s">
        <v>1207</v>
      </c>
      <c r="C24" s="62" t="str">
        <f>VLOOKUP($B$8,'Company Info'!$A$2:$X$261,17,FALSE)</f>
        <v>Yes</v>
      </c>
    </row>
    <row r="25" spans="2:3" ht="47.25" x14ac:dyDescent="0.25">
      <c r="B25" s="59" t="s">
        <v>1211</v>
      </c>
      <c r="C25" s="62" t="str">
        <f>VLOOKUP($B$8,'Company Info'!$A$2:$X$261,18,FALSE)</f>
        <v>Yes</v>
      </c>
    </row>
    <row r="26" spans="2:3" ht="63" x14ac:dyDescent="0.25">
      <c r="B26" s="59" t="s">
        <v>1208</v>
      </c>
      <c r="C26" s="62" t="str">
        <f>VLOOKUP($B$8,'Company Info'!$A$2:$X$261,19,FALSE)</f>
        <v>Yes</v>
      </c>
    </row>
    <row r="27" spans="2:3" ht="31.5" x14ac:dyDescent="0.25">
      <c r="B27" s="59" t="s">
        <v>1212</v>
      </c>
      <c r="C27" s="62" t="str">
        <f>VLOOKUP($B$8,'Company Info'!$A$2:$X$261,20,FALSE)</f>
        <v>No</v>
      </c>
    </row>
    <row r="28" spans="2:3" ht="87.75" customHeight="1" x14ac:dyDescent="0.25">
      <c r="B28" s="59" t="s">
        <v>963</v>
      </c>
      <c r="C28" s="62" t="str">
        <f>VLOOKUP($B$8,'Company Info'!$A$2:$X$261,21,FALSE)</f>
        <v>No Reply</v>
      </c>
    </row>
    <row r="29" spans="2:3" ht="31.5" x14ac:dyDescent="0.25">
      <c r="B29" s="59" t="s">
        <v>1209</v>
      </c>
      <c r="C29" s="62" t="str">
        <f>VLOOKUP($B$8,'Company Info'!$A$2:$X$261,22,FALSE)</f>
        <v>Unknown</v>
      </c>
    </row>
    <row r="30" spans="2:3" ht="174.75" customHeight="1" x14ac:dyDescent="0.25">
      <c r="B30" s="59" t="s">
        <v>965</v>
      </c>
      <c r="C30" s="62" t="str">
        <f>VLOOKUP($B$8,'Company Info'!$A$2:$X$261,23,FALSE)</f>
        <v>No Reply</v>
      </c>
    </row>
    <row r="31" spans="2:3" ht="177.75" customHeight="1" thickBot="1" x14ac:dyDescent="0.3">
      <c r="B31" s="60" t="s">
        <v>964</v>
      </c>
      <c r="C31" s="64" t="str">
        <f>VLOOKUP($B$8,'Company Info'!$A$2:$X$261,24,FALSE)</f>
        <v>1st Choice Development is a 31 year business specializing in residential and commercial general constructiond solar works.</v>
      </c>
    </row>
    <row r="32" spans="2:3" ht="50.1" customHeight="1" thickTop="1" x14ac:dyDescent="0.25">
      <c r="B32" s="72"/>
      <c r="C32" s="73"/>
    </row>
    <row r="34" ht="20.100000000000001" customHeight="1" x14ac:dyDescent="0.3"/>
    <row r="294" spans="2:2" x14ac:dyDescent="0.3">
      <c r="B294" s="73"/>
    </row>
    <row r="295" spans="2:2" x14ac:dyDescent="0.3">
      <c r="B295" s="73"/>
    </row>
    <row r="296" spans="2:2" x14ac:dyDescent="0.3">
      <c r="B296" s="73"/>
    </row>
    <row r="297" spans="2:2" x14ac:dyDescent="0.3">
      <c r="B297" s="73"/>
    </row>
    <row r="298" spans="2:2" x14ac:dyDescent="0.3">
      <c r="B298" s="73"/>
    </row>
    <row r="299" spans="2:2" x14ac:dyDescent="0.3">
      <c r="B299" s="73"/>
    </row>
    <row r="300" spans="2:2" x14ac:dyDescent="0.3">
      <c r="B300" s="73"/>
    </row>
    <row r="301" spans="2:2" x14ac:dyDescent="0.3">
      <c r="B301" s="73"/>
    </row>
    <row r="302" spans="2:2" x14ac:dyDescent="0.3">
      <c r="B302" s="73"/>
    </row>
    <row r="303" spans="2:2" x14ac:dyDescent="0.3">
      <c r="B303" s="73"/>
    </row>
    <row r="304" spans="2:2" x14ac:dyDescent="0.3">
      <c r="B304" s="73"/>
    </row>
    <row r="305" spans="2:2" x14ac:dyDescent="0.3">
      <c r="B305" s="73"/>
    </row>
    <row r="306" spans="2:2" x14ac:dyDescent="0.3">
      <c r="B306" s="73"/>
    </row>
    <row r="307" spans="2:2" x14ac:dyDescent="0.3">
      <c r="B307" s="73"/>
    </row>
    <row r="308" spans="2:2" x14ac:dyDescent="0.3">
      <c r="B308" s="73"/>
    </row>
    <row r="309" spans="2:2" x14ac:dyDescent="0.3">
      <c r="B309" s="73"/>
    </row>
    <row r="310" spans="2:2" x14ac:dyDescent="0.3">
      <c r="B310" s="73"/>
    </row>
    <row r="311" spans="2:2" x14ac:dyDescent="0.3">
      <c r="B311" s="73"/>
    </row>
    <row r="312" spans="2:2" x14ac:dyDescent="0.3">
      <c r="B312" s="73"/>
    </row>
    <row r="313" spans="2:2" x14ac:dyDescent="0.3">
      <c r="B313" s="73"/>
    </row>
    <row r="314" spans="2:2" x14ac:dyDescent="0.3">
      <c r="B314" s="73"/>
    </row>
    <row r="315" spans="2:2" x14ac:dyDescent="0.3">
      <c r="B315" s="73"/>
    </row>
    <row r="316" spans="2:2" x14ac:dyDescent="0.3">
      <c r="B316" s="73"/>
    </row>
    <row r="317" spans="2:2" x14ac:dyDescent="0.3">
      <c r="B317" s="73"/>
    </row>
    <row r="318" spans="2:2" x14ac:dyDescent="0.3">
      <c r="B318" s="73"/>
    </row>
    <row r="319" spans="2:2" x14ac:dyDescent="0.3">
      <c r="B319" s="73"/>
    </row>
    <row r="320" spans="2:2" x14ac:dyDescent="0.3">
      <c r="B320" s="73"/>
    </row>
    <row r="321" spans="2:2" x14ac:dyDescent="0.3">
      <c r="B321" s="73"/>
    </row>
    <row r="322" spans="2:2" x14ac:dyDescent="0.3">
      <c r="B322" s="73"/>
    </row>
    <row r="323" spans="2:2" x14ac:dyDescent="0.3">
      <c r="B323" s="73"/>
    </row>
    <row r="324" spans="2:2" x14ac:dyDescent="0.3">
      <c r="B324" s="73"/>
    </row>
    <row r="325" spans="2:2" x14ac:dyDescent="0.3">
      <c r="B325" s="73"/>
    </row>
    <row r="326" spans="2:2" x14ac:dyDescent="0.3">
      <c r="B326" s="73"/>
    </row>
    <row r="327" spans="2:2" x14ac:dyDescent="0.3">
      <c r="B327" s="73"/>
    </row>
    <row r="328" spans="2:2" x14ac:dyDescent="0.3">
      <c r="B328" s="73"/>
    </row>
    <row r="329" spans="2:2" x14ac:dyDescent="0.3">
      <c r="B329" s="73"/>
    </row>
    <row r="330" spans="2:2" x14ac:dyDescent="0.3">
      <c r="B330" s="73"/>
    </row>
    <row r="331" spans="2:2" x14ac:dyDescent="0.3">
      <c r="B331" s="73"/>
    </row>
    <row r="332" spans="2:2" x14ac:dyDescent="0.3">
      <c r="B332" s="73"/>
    </row>
    <row r="333" spans="2:2" x14ac:dyDescent="0.3">
      <c r="B333" s="73"/>
    </row>
    <row r="334" spans="2:2" x14ac:dyDescent="0.3">
      <c r="B334" s="73"/>
    </row>
    <row r="335" spans="2:2" x14ac:dyDescent="0.3">
      <c r="B335" s="73"/>
    </row>
    <row r="336" spans="2:2" x14ac:dyDescent="0.3">
      <c r="B336" s="73"/>
    </row>
    <row r="337" spans="2:2" x14ac:dyDescent="0.3">
      <c r="B337" s="73"/>
    </row>
    <row r="338" spans="2:2" x14ac:dyDescent="0.3">
      <c r="B338" s="73"/>
    </row>
    <row r="339" spans="2:2" x14ac:dyDescent="0.3">
      <c r="B339" s="73"/>
    </row>
    <row r="340" spans="2:2" x14ac:dyDescent="0.3">
      <c r="B340" s="73"/>
    </row>
    <row r="341" spans="2:2" x14ac:dyDescent="0.3">
      <c r="B341" s="73"/>
    </row>
    <row r="342" spans="2:2" x14ac:dyDescent="0.3">
      <c r="B342" s="73"/>
    </row>
    <row r="343" spans="2:2" x14ac:dyDescent="0.3">
      <c r="B343" s="73"/>
    </row>
    <row r="344" spans="2:2" x14ac:dyDescent="0.3">
      <c r="B344" s="73"/>
    </row>
    <row r="345" spans="2:2" x14ac:dyDescent="0.3">
      <c r="B345" s="73"/>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C875F99-7D5D-477E-9C2E-C8C2699EDAA1}">
          <x14:formula1>
            <xm:f>'CA Counties'!$A$1:$A$58</xm:f>
          </x14:formula1>
          <xm:sqref>B5</xm:sqref>
        </x14:dataValidation>
        <x14:dataValidation type="list" allowBlank="1" showInputMessage="1" showErrorMessage="1" xr:uid="{41A7128E-8300-4E87-9581-DE0F1A82A2D7}">
          <x14:formula1>
            <xm:f>'Counties Served (2)'!$B$63:$B$322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65EA-CCCD-4E2B-BDD0-13E79DE67501}">
  <dimension ref="A1:JB323"/>
  <sheetViews>
    <sheetView workbookViewId="0">
      <pane xSplit="1" ySplit="1" topLeftCell="B267" activePane="bottomRight" state="frozen"/>
      <selection pane="topRight" activeCell="B1" sqref="B1"/>
      <selection pane="bottomLeft" activeCell="A2" sqref="A2"/>
      <selection pane="bottomRight" activeCell="HD2" sqref="HD2:HD53"/>
    </sheetView>
  </sheetViews>
  <sheetFormatPr defaultRowHeight="30" customHeight="1" x14ac:dyDescent="0.25"/>
  <cols>
    <col min="1" max="1" width="36.42578125" style="1" bestFit="1" customWidth="1"/>
    <col min="2" max="2" width="36.42578125" style="9" customWidth="1"/>
    <col min="3" max="4" width="36.42578125" style="1" customWidth="1"/>
    <col min="5" max="5" width="20.28515625" style="2" customWidth="1"/>
    <col min="6" max="11" width="11" style="2" customWidth="1"/>
    <col min="12" max="12" width="12.140625" style="2" bestFit="1" customWidth="1"/>
    <col min="13" max="14" width="11" style="2" customWidth="1"/>
    <col min="15" max="39" width="12" style="2" customWidth="1"/>
    <col min="40" max="40" width="14.5703125" style="2" bestFit="1" customWidth="1"/>
    <col min="41" max="41" width="12" style="2" customWidth="1"/>
    <col min="42" max="42" width="12.7109375" style="2" bestFit="1" customWidth="1"/>
    <col min="43" max="43" width="12" style="2" customWidth="1"/>
    <col min="44" max="44" width="14.85546875" style="2" bestFit="1" customWidth="1"/>
    <col min="45" max="45" width="12" style="2" customWidth="1"/>
    <col min="46" max="46" width="13.140625" style="2" bestFit="1" customWidth="1"/>
    <col min="47" max="62" width="12" style="2" customWidth="1"/>
    <col min="63" max="63" width="9.140625" style="1" customWidth="1"/>
    <col min="64" max="68" width="9.140625" style="2" customWidth="1"/>
    <col min="69" max="16384" width="9.140625" style="2"/>
  </cols>
  <sheetData>
    <row r="1" spans="1:262" s="46" customFormat="1" ht="30" customHeight="1" x14ac:dyDescent="0.25">
      <c r="A1" s="25" t="s">
        <v>847</v>
      </c>
      <c r="B1" s="47" t="s">
        <v>1426</v>
      </c>
      <c r="C1" s="41" t="s">
        <v>857</v>
      </c>
      <c r="D1" s="42" t="s">
        <v>863</v>
      </c>
      <c r="E1" s="43" t="s">
        <v>240</v>
      </c>
      <c r="F1" s="42" t="s">
        <v>214</v>
      </c>
      <c r="G1" s="43" t="s">
        <v>866</v>
      </c>
      <c r="H1" s="42" t="s">
        <v>71</v>
      </c>
      <c r="I1" s="43" t="s">
        <v>1233</v>
      </c>
      <c r="J1" s="42" t="s">
        <v>907</v>
      </c>
      <c r="K1" s="43" t="s">
        <v>458</v>
      </c>
      <c r="L1" s="42" t="s">
        <v>208</v>
      </c>
      <c r="M1" s="43" t="s">
        <v>906</v>
      </c>
      <c r="N1" s="42" t="s">
        <v>1295</v>
      </c>
      <c r="O1" s="43" t="s">
        <v>941</v>
      </c>
      <c r="P1" s="42" t="s">
        <v>122</v>
      </c>
      <c r="Q1" s="43" t="s">
        <v>881</v>
      </c>
      <c r="R1" s="42" t="s">
        <v>936</v>
      </c>
      <c r="S1" s="43" t="s">
        <v>87</v>
      </c>
      <c r="T1" s="42" t="s">
        <v>427</v>
      </c>
      <c r="U1" s="43" t="s">
        <v>915</v>
      </c>
      <c r="V1" s="42" t="s">
        <v>383</v>
      </c>
      <c r="W1" s="43" t="s">
        <v>293</v>
      </c>
      <c r="X1" s="42" t="s">
        <v>401</v>
      </c>
      <c r="Y1" s="43" t="s">
        <v>471</v>
      </c>
      <c r="Z1" s="42" t="s">
        <v>883</v>
      </c>
      <c r="AA1" s="43" t="s">
        <v>360</v>
      </c>
      <c r="AB1" s="42" t="s">
        <v>942</v>
      </c>
      <c r="AC1" s="43" t="s">
        <v>366</v>
      </c>
      <c r="AD1" s="42" t="s">
        <v>553</v>
      </c>
      <c r="AE1" s="43" t="s">
        <v>943</v>
      </c>
      <c r="AF1" s="42" t="s">
        <v>1232</v>
      </c>
      <c r="AG1" s="43" t="s">
        <v>928</v>
      </c>
      <c r="AH1" s="42" t="s">
        <v>549</v>
      </c>
      <c r="AI1" s="43" t="s">
        <v>202</v>
      </c>
      <c r="AJ1" s="42" t="s">
        <v>851</v>
      </c>
      <c r="AK1" s="43" t="s">
        <v>882</v>
      </c>
      <c r="AL1" s="42" t="s">
        <v>217</v>
      </c>
      <c r="AM1" s="43" t="s">
        <v>463</v>
      </c>
      <c r="AN1" s="42" t="s">
        <v>505</v>
      </c>
      <c r="AO1" s="43" t="s">
        <v>497</v>
      </c>
      <c r="AP1" s="42" t="s">
        <v>1231</v>
      </c>
      <c r="AQ1" s="43" t="s">
        <v>926</v>
      </c>
      <c r="AR1" s="42" t="s">
        <v>923</v>
      </c>
      <c r="AS1" s="43" t="s">
        <v>60</v>
      </c>
      <c r="AT1" s="42" t="s">
        <v>205</v>
      </c>
      <c r="AU1" s="43" t="s">
        <v>1230</v>
      </c>
      <c r="AV1" s="42" t="s">
        <v>199</v>
      </c>
      <c r="AW1" s="43" t="s">
        <v>865</v>
      </c>
      <c r="AX1" s="42" t="s">
        <v>451</v>
      </c>
      <c r="AY1" s="43" t="s">
        <v>374</v>
      </c>
      <c r="AZ1" s="42" t="s">
        <v>397</v>
      </c>
      <c r="BA1" s="43" t="s">
        <v>351</v>
      </c>
      <c r="BB1" s="42" t="s">
        <v>388</v>
      </c>
      <c r="BC1" s="43" t="s">
        <v>142</v>
      </c>
      <c r="BD1" s="42" t="s">
        <v>304</v>
      </c>
      <c r="BE1" s="43" t="s">
        <v>1215</v>
      </c>
      <c r="BF1" s="42" t="s">
        <v>529</v>
      </c>
      <c r="BG1" s="43" t="s">
        <v>911</v>
      </c>
      <c r="BH1" s="42" t="s">
        <v>850</v>
      </c>
      <c r="BI1" s="43" t="s">
        <v>938</v>
      </c>
      <c r="BJ1" s="42" t="s">
        <v>321</v>
      </c>
      <c r="BK1" s="43" t="s">
        <v>148</v>
      </c>
      <c r="BL1" s="42" t="s">
        <v>888</v>
      </c>
      <c r="BM1" s="43" t="s">
        <v>67</v>
      </c>
      <c r="BN1" s="42" t="s">
        <v>258</v>
      </c>
      <c r="BO1" s="43" t="s">
        <v>914</v>
      </c>
      <c r="BP1" s="42" t="s">
        <v>917</v>
      </c>
      <c r="BQ1" s="43" t="s">
        <v>391</v>
      </c>
      <c r="BR1" s="42" t="s">
        <v>190</v>
      </c>
      <c r="BS1" s="43" t="s">
        <v>872</v>
      </c>
      <c r="BT1" s="42" t="s">
        <v>878</v>
      </c>
      <c r="BU1" s="43" t="s">
        <v>153</v>
      </c>
      <c r="BV1" s="42" t="s">
        <v>330</v>
      </c>
      <c r="BW1" s="43" t="s">
        <v>532</v>
      </c>
      <c r="BX1" s="42" t="s">
        <v>280</v>
      </c>
      <c r="BY1" s="43" t="s">
        <v>211</v>
      </c>
      <c r="BZ1" s="42" t="s">
        <v>896</v>
      </c>
      <c r="CA1" s="43" t="s">
        <v>853</v>
      </c>
      <c r="CB1" s="42" t="s">
        <v>1216</v>
      </c>
      <c r="CC1" s="43" t="s">
        <v>537</v>
      </c>
      <c r="CD1" s="42" t="s">
        <v>526</v>
      </c>
      <c r="CE1" s="43" t="s">
        <v>275</v>
      </c>
      <c r="CF1" s="42" t="s">
        <v>253</v>
      </c>
      <c r="CG1" s="43" t="s">
        <v>327</v>
      </c>
      <c r="CH1" s="42" t="s">
        <v>929</v>
      </c>
      <c r="CI1" s="43" t="s">
        <v>876</v>
      </c>
      <c r="CJ1" s="42" t="s">
        <v>323</v>
      </c>
      <c r="CK1" s="43" t="s">
        <v>930</v>
      </c>
      <c r="CL1" s="42" t="s">
        <v>417</v>
      </c>
      <c r="CM1" s="43" t="s">
        <v>519</v>
      </c>
      <c r="CN1" s="42" t="s">
        <v>487</v>
      </c>
      <c r="CO1" s="43" t="s">
        <v>307</v>
      </c>
      <c r="CP1" s="42" t="s">
        <v>296</v>
      </c>
      <c r="CQ1" s="43" t="s">
        <v>945</v>
      </c>
      <c r="CR1" s="42" t="s">
        <v>261</v>
      </c>
      <c r="CS1" s="43" t="s">
        <v>892</v>
      </c>
      <c r="CT1" s="42" t="s">
        <v>494</v>
      </c>
      <c r="CU1" s="43" t="s">
        <v>99</v>
      </c>
      <c r="CV1" s="42" t="s">
        <v>852</v>
      </c>
      <c r="CW1" s="43" t="s">
        <v>167</v>
      </c>
      <c r="CX1" s="42" t="s">
        <v>859</v>
      </c>
      <c r="CY1" s="43" t="s">
        <v>873</v>
      </c>
      <c r="CZ1" s="42" t="s">
        <v>946</v>
      </c>
      <c r="DA1" s="43" t="s">
        <v>485</v>
      </c>
      <c r="DB1" s="42" t="s">
        <v>115</v>
      </c>
      <c r="DC1" s="43" t="s">
        <v>920</v>
      </c>
      <c r="DD1" s="42" t="s">
        <v>916</v>
      </c>
      <c r="DE1" s="43" t="s">
        <v>134</v>
      </c>
      <c r="DF1" s="42" t="s">
        <v>875</v>
      </c>
      <c r="DG1" s="43" t="s">
        <v>37</v>
      </c>
      <c r="DH1" s="42" t="s">
        <v>220</v>
      </c>
      <c r="DI1" s="43" t="s">
        <v>858</v>
      </c>
      <c r="DJ1" s="42" t="s">
        <v>272</v>
      </c>
      <c r="DK1" s="43" t="s">
        <v>52</v>
      </c>
      <c r="DL1" s="42" t="s">
        <v>428</v>
      </c>
      <c r="DM1" s="43" t="s">
        <v>179</v>
      </c>
      <c r="DN1" s="42" t="s">
        <v>868</v>
      </c>
      <c r="DO1" s="43" t="s">
        <v>234</v>
      </c>
      <c r="DP1" s="42" t="s">
        <v>867</v>
      </c>
      <c r="DQ1" s="43" t="s">
        <v>879</v>
      </c>
      <c r="DR1" s="42" t="s">
        <v>908</v>
      </c>
      <c r="DS1" s="43" t="s">
        <v>75</v>
      </c>
      <c r="DT1" s="42" t="s">
        <v>41</v>
      </c>
      <c r="DU1" s="43" t="s">
        <v>267</v>
      </c>
      <c r="DV1" s="42" t="s">
        <v>109</v>
      </c>
      <c r="DW1" s="43" t="s">
        <v>895</v>
      </c>
      <c r="DX1" s="42" t="s">
        <v>932</v>
      </c>
      <c r="DY1" s="43" t="s">
        <v>889</v>
      </c>
      <c r="DZ1" s="42" t="s">
        <v>125</v>
      </c>
      <c r="EA1" s="43" t="s">
        <v>595</v>
      </c>
      <c r="EB1" s="42" t="s">
        <v>448</v>
      </c>
      <c r="EC1" s="43" t="s">
        <v>1425</v>
      </c>
      <c r="ED1" s="42" t="s">
        <v>860</v>
      </c>
      <c r="EE1" s="43" t="s">
        <v>83</v>
      </c>
      <c r="EF1" s="42" t="s">
        <v>357</v>
      </c>
      <c r="EG1" s="43" t="s">
        <v>413</v>
      </c>
      <c r="EH1" s="42" t="s">
        <v>250</v>
      </c>
      <c r="EI1" s="43" t="s">
        <v>900</v>
      </c>
      <c r="EJ1" s="42" t="s">
        <v>136</v>
      </c>
      <c r="EK1" s="43" t="s">
        <v>535</v>
      </c>
      <c r="EL1" s="42" t="s">
        <v>951</v>
      </c>
      <c r="EM1" s="43" t="s">
        <v>145</v>
      </c>
      <c r="EN1" s="42" t="s">
        <v>948</v>
      </c>
      <c r="EO1" s="43" t="s">
        <v>880</v>
      </c>
      <c r="EP1" s="42" t="s">
        <v>431</v>
      </c>
      <c r="EQ1" s="43" t="s">
        <v>363</v>
      </c>
      <c r="ER1" s="42" t="s">
        <v>468</v>
      </c>
      <c r="ES1" s="43" t="s">
        <v>935</v>
      </c>
      <c r="ET1" s="42" t="s">
        <v>1036</v>
      </c>
      <c r="EU1" s="43" t="s">
        <v>264</v>
      </c>
      <c r="EV1" s="42" t="s">
        <v>286</v>
      </c>
      <c r="EW1" s="43" t="s">
        <v>983</v>
      </c>
      <c r="EX1" s="42" t="s">
        <v>903</v>
      </c>
      <c r="EY1" s="43" t="s">
        <v>559</v>
      </c>
      <c r="EZ1" s="42" t="s">
        <v>156</v>
      </c>
      <c r="FA1" s="43" t="s">
        <v>910</v>
      </c>
      <c r="FB1" s="42" t="s">
        <v>921</v>
      </c>
      <c r="FC1" s="43" t="s">
        <v>940</v>
      </c>
      <c r="FD1" s="42" t="s">
        <v>484</v>
      </c>
      <c r="FE1" s="43" t="s">
        <v>909</v>
      </c>
      <c r="FF1" s="42" t="s">
        <v>439</v>
      </c>
      <c r="FG1" s="43" t="s">
        <v>541</v>
      </c>
      <c r="FH1" s="42" t="s">
        <v>423</v>
      </c>
      <c r="FI1" s="43" t="s">
        <v>354</v>
      </c>
      <c r="FJ1" s="42" t="s">
        <v>278</v>
      </c>
      <c r="FK1" s="43" t="s">
        <v>341</v>
      </c>
      <c r="FL1" s="42" t="s">
        <v>854</v>
      </c>
      <c r="FM1" s="43" t="s">
        <v>312</v>
      </c>
      <c r="FN1" s="42" t="s">
        <v>465</v>
      </c>
      <c r="FO1" s="43" t="s">
        <v>394</v>
      </c>
      <c r="FP1" s="42" t="s">
        <v>890</v>
      </c>
      <c r="FQ1" s="43" t="s">
        <v>171</v>
      </c>
      <c r="FR1" s="42" t="s">
        <v>405</v>
      </c>
      <c r="FS1" s="44" t="s">
        <v>237</v>
      </c>
      <c r="FT1" s="44" t="s">
        <v>290</v>
      </c>
      <c r="FU1" s="43" t="s">
        <v>630</v>
      </c>
      <c r="FV1" s="42" t="s">
        <v>139</v>
      </c>
      <c r="FW1" s="43" t="s">
        <v>886</v>
      </c>
      <c r="FX1" s="42" t="s">
        <v>934</v>
      </c>
      <c r="FY1" s="43" t="s">
        <v>562</v>
      </c>
      <c r="FZ1" s="42" t="s">
        <v>933</v>
      </c>
      <c r="GA1" s="43" t="s">
        <v>874</v>
      </c>
      <c r="GB1" s="42" t="s">
        <v>893</v>
      </c>
      <c r="GC1" s="43" t="s">
        <v>491</v>
      </c>
      <c r="GD1" s="42" t="s">
        <v>64</v>
      </c>
      <c r="GE1" s="43" t="s">
        <v>91</v>
      </c>
      <c r="GF1" s="42" t="s">
        <v>922</v>
      </c>
      <c r="GG1" s="43" t="s">
        <v>864</v>
      </c>
      <c r="GH1" s="42" t="s">
        <v>897</v>
      </c>
      <c r="GI1" s="43" t="s">
        <v>454</v>
      </c>
      <c r="GJ1" s="42" t="s">
        <v>905</v>
      </c>
      <c r="GK1" s="43" t="s">
        <v>953</v>
      </c>
      <c r="GL1" s="42" t="s">
        <v>106</v>
      </c>
      <c r="GM1" s="43" t="s">
        <v>501</v>
      </c>
      <c r="GN1" s="42" t="s">
        <v>891</v>
      </c>
      <c r="GO1" s="43" t="s">
        <v>96</v>
      </c>
      <c r="GP1" s="42" t="s">
        <v>861</v>
      </c>
      <c r="GQ1" s="43" t="s">
        <v>244</v>
      </c>
      <c r="GR1" s="42" t="s">
        <v>318</v>
      </c>
      <c r="GS1" s="43" t="s">
        <v>862</v>
      </c>
      <c r="GT1" s="42" t="s">
        <v>476</v>
      </c>
      <c r="GU1" s="43" t="s">
        <v>160</v>
      </c>
      <c r="GV1" s="42" t="s">
        <v>420</v>
      </c>
      <c r="GW1" s="43" t="s">
        <v>227</v>
      </c>
      <c r="GX1" s="42" t="s">
        <v>950</v>
      </c>
      <c r="GY1" s="43" t="s">
        <v>556</v>
      </c>
      <c r="GZ1" s="42" t="s">
        <v>894</v>
      </c>
      <c r="HA1" s="43" t="s">
        <v>582</v>
      </c>
      <c r="HB1" s="42" t="s">
        <v>333</v>
      </c>
      <c r="HC1" s="43" t="s">
        <v>129</v>
      </c>
      <c r="HD1" s="42" t="s">
        <v>102</v>
      </c>
      <c r="HE1" s="43" t="s">
        <v>901</v>
      </c>
      <c r="HF1" s="42" t="s">
        <v>337</v>
      </c>
      <c r="HG1" s="43" t="s">
        <v>925</v>
      </c>
      <c r="HH1" s="42" t="s">
        <v>297</v>
      </c>
      <c r="HI1" s="43" t="s">
        <v>919</v>
      </c>
      <c r="HJ1" s="42" t="s">
        <v>1055</v>
      </c>
      <c r="HK1" s="43" t="s">
        <v>77</v>
      </c>
      <c r="HL1" s="42" t="s">
        <v>444</v>
      </c>
      <c r="HM1" s="43" t="s">
        <v>887</v>
      </c>
      <c r="HN1" s="42" t="s">
        <v>572</v>
      </c>
      <c r="HO1" s="43" t="s">
        <v>523</v>
      </c>
      <c r="HP1" s="42" t="s">
        <v>56</v>
      </c>
      <c r="HQ1" s="43" t="s">
        <v>1303</v>
      </c>
      <c r="HR1" s="42" t="s">
        <v>1302</v>
      </c>
      <c r="HS1" s="43" t="s">
        <v>195</v>
      </c>
      <c r="HT1" s="42" t="s">
        <v>1234</v>
      </c>
      <c r="HU1" s="43" t="s">
        <v>183</v>
      </c>
      <c r="HV1" s="42" t="s">
        <v>370</v>
      </c>
      <c r="HW1" s="43" t="s">
        <v>913</v>
      </c>
      <c r="HX1" s="44" t="s">
        <v>163</v>
      </c>
      <c r="HY1" s="44" t="s">
        <v>877</v>
      </c>
      <c r="HZ1" s="42" t="s">
        <v>49</v>
      </c>
      <c r="IA1" s="43" t="s">
        <v>544</v>
      </c>
      <c r="IB1" s="42" t="s">
        <v>952</v>
      </c>
      <c r="IC1" s="43" t="s">
        <v>856</v>
      </c>
      <c r="ID1" s="42" t="s">
        <v>118</v>
      </c>
      <c r="IE1" s="43" t="s">
        <v>1227</v>
      </c>
      <c r="IF1" s="42" t="s">
        <v>513</v>
      </c>
      <c r="IG1" s="43" t="s">
        <v>408</v>
      </c>
      <c r="IH1" s="42" t="s">
        <v>436</v>
      </c>
      <c r="II1" s="43" t="s">
        <v>870</v>
      </c>
      <c r="IJ1" s="42" t="s">
        <v>460</v>
      </c>
      <c r="IK1" s="43" t="s">
        <v>937</v>
      </c>
      <c r="IL1" s="42" t="s">
        <v>80</v>
      </c>
      <c r="IM1" s="43" t="s">
        <v>175</v>
      </c>
      <c r="IN1" s="42" t="s">
        <v>884</v>
      </c>
      <c r="IO1" s="43" t="s">
        <v>230</v>
      </c>
      <c r="IP1" s="42" t="s">
        <v>45</v>
      </c>
      <c r="IQ1" s="43" t="s">
        <v>301</v>
      </c>
      <c r="IR1" s="42" t="s">
        <v>947</v>
      </c>
      <c r="IS1" s="43" t="s">
        <v>1226</v>
      </c>
      <c r="IT1" s="42" t="s">
        <v>855</v>
      </c>
      <c r="IU1" s="43" t="s">
        <v>480</v>
      </c>
      <c r="IV1" s="42" t="s">
        <v>315</v>
      </c>
      <c r="IW1" s="43" t="s">
        <v>927</v>
      </c>
      <c r="IX1" s="42" t="s">
        <v>344</v>
      </c>
      <c r="IY1" s="43" t="s">
        <v>902</v>
      </c>
      <c r="IZ1" s="42" t="s">
        <v>944</v>
      </c>
      <c r="JA1" s="43" t="s">
        <v>871</v>
      </c>
      <c r="JB1" s="45" t="s">
        <v>885</v>
      </c>
    </row>
    <row r="2" spans="1:262" ht="161.25" customHeight="1" x14ac:dyDescent="0.25">
      <c r="A2" s="26" t="s">
        <v>1236</v>
      </c>
      <c r="B2" s="48" t="str">
        <f t="shared" ref="B2:B33" si="0">_xlfn.TEXTJOIN(CHAR(10),TRUE,C2:JB2)</f>
        <v>1st Choice Development
A1 Sun Inc.
Albion Power Company
Alpha Energy Management, Inc.
Ambrose Construction Inc
Apollo Home Performance
Aztec Solar Inc.
Bright Future Solar Energy
Bright Power
California Solar Integrators, Inc.
California State Development
Centrica Business Solutions
Chico Electric
Cinnamon Energy Systems
Citadel Roofing &amp; Solar
Clean Factor Energy
Clean Solar
Climatec
Cobalt Power Systems, Inc.
Cool Earth Solar
Corona Solar
DC Solar Electric, Inc
DEL SOL NRG, INC.
Earthwise Energy Solutions
EDF Renewables Distributed Solutions
Elliott Enterprises, Inc dba Sierra Roofing and Solar
Enable Energy, Inc.
Enel X North America
Energy Independence Group
Engie Services US
Fairfax Solar
ForeFront Power
Freevolt
Fresco Solar
Future Energy Corporation
Go Microgrid
Gold Rush Energy Solutions
Golden Bear Solar, Inc.
Got Watts Electric &amp; Solar
Green Water and Power
Green Wolf Energy
GRID Alternatives
GS Homes
Highlight Solar, Inc.
Home Networks, Electric &amp; Solar, Inc.
Horizon Solar Power
Hot Watts Technology
Huffman Solar
I Love My Solar
Ilum Solar
Infinity Energy Inc
Infinium Solar, Inc.
Innovative Energy Systems (IES)
J&amp;J Electric DBA Vital Energy Solutions, LLC
Kota Construction
Kuubix Energy, Inc.
LA Solar Group
Laibach Solar
LLUMETEC
Mack Electric/Gardner Energy
Michael &amp; Sun Solar Inc
NRG Clean Power
Occidel Power Solar and Cogen
Pac Solar Corporation
Pacific Rim ConstructioRAM SOLAR
PacificWest Energy Solutions, Inc.
Perrybuilt Construction
Promise Energy Inc
REC Solar
Sage Energy Consulting
Save a Lot Solar
Semper Solaris
Simmitri, Inc
Sky Power Solar
Skytech Solar
Slingshot Power
Solar Gain West LLC
Solar Optimum Inc
Solar Pros Inc.
Solar Savings Direct
SolarWinds Energy
SonoMarin Solar &amp; Electric
Spreck Energy
Starseed Electric
Stem, Inc.
Stronghold Engineering
Sun Light &amp; Power
Sunce Energy Solutions, Inc.
Sungenix Energy Solutions
Sunnova Energy
SunPower by Hooked On Solar
SunPower Corporation
SunStor
Sunterra Solar Inc
Sunworks
Sustainable Technologies
Swell Energy
Symmetric Energy / Solar Winds Energy
Synergy Power
Treeium Energy
Urban Energy Inc
V3 Electric Inc
Vivint Solar
West Coast Solar
Westhaven Inc.
Wired Into The Future, Inc.
Xero Solar
Your Energy Solutions
Your Energy Source (YES)</v>
      </c>
      <c r="C2" s="29" t="s">
        <v>857</v>
      </c>
      <c r="D2" s="31"/>
      <c r="E2" s="34"/>
      <c r="F2" s="31" t="s">
        <v>214</v>
      </c>
      <c r="G2" s="34"/>
      <c r="H2" s="31"/>
      <c r="I2" s="34"/>
      <c r="J2" s="31"/>
      <c r="K2" s="34" t="s">
        <v>458</v>
      </c>
      <c r="L2" s="31"/>
      <c r="M2" s="34"/>
      <c r="N2" s="30" t="s">
        <v>1295</v>
      </c>
      <c r="O2" s="34"/>
      <c r="P2" s="31"/>
      <c r="Q2" s="34"/>
      <c r="R2" s="31"/>
      <c r="S2" s="34" t="s">
        <v>87</v>
      </c>
      <c r="T2" s="31"/>
      <c r="U2" s="34" t="s">
        <v>915</v>
      </c>
      <c r="V2" s="31"/>
      <c r="W2" s="34"/>
      <c r="X2" s="31" t="s">
        <v>401</v>
      </c>
      <c r="Y2" s="34"/>
      <c r="Z2" s="31"/>
      <c r="AA2" s="34"/>
      <c r="AB2" s="31"/>
      <c r="AC2" s="34"/>
      <c r="AD2" s="31"/>
      <c r="AE2" s="34"/>
      <c r="AF2" s="31"/>
      <c r="AG2" s="34" t="s">
        <v>928</v>
      </c>
      <c r="AH2" s="31"/>
      <c r="AI2" s="34" t="s">
        <v>202</v>
      </c>
      <c r="AJ2" s="31"/>
      <c r="AK2" s="34"/>
      <c r="AL2" s="31"/>
      <c r="AM2" s="34"/>
      <c r="AN2" s="31"/>
      <c r="AO2" s="34" t="s">
        <v>497</v>
      </c>
      <c r="AP2" s="31" t="s">
        <v>1231</v>
      </c>
      <c r="AQ2" s="34"/>
      <c r="AR2" s="31"/>
      <c r="AS2" s="34" t="s">
        <v>60</v>
      </c>
      <c r="AT2" s="31" t="s">
        <v>205</v>
      </c>
      <c r="AU2" s="34" t="s">
        <v>1230</v>
      </c>
      <c r="AV2" s="31" t="s">
        <v>199</v>
      </c>
      <c r="AW2" s="34" t="s">
        <v>865</v>
      </c>
      <c r="AX2" s="31" t="s">
        <v>451</v>
      </c>
      <c r="AY2" s="34"/>
      <c r="AZ2" s="31"/>
      <c r="BA2" s="34" t="s">
        <v>351</v>
      </c>
      <c r="BB2" s="31"/>
      <c r="BC2" s="34"/>
      <c r="BD2" s="31" t="s">
        <v>304</v>
      </c>
      <c r="BE2" s="34"/>
      <c r="BF2" s="31" t="s">
        <v>529</v>
      </c>
      <c r="BG2" s="34" t="s">
        <v>911</v>
      </c>
      <c r="BH2" s="31"/>
      <c r="BI2" s="34"/>
      <c r="BJ2" s="31" t="s">
        <v>321</v>
      </c>
      <c r="BK2" s="34" t="s">
        <v>148</v>
      </c>
      <c r="BL2" s="31"/>
      <c r="BM2" s="34"/>
      <c r="BN2" s="31" t="s">
        <v>258</v>
      </c>
      <c r="BO2" s="34"/>
      <c r="BP2" s="31"/>
      <c r="BQ2" s="34" t="s">
        <v>391</v>
      </c>
      <c r="BR2" s="31"/>
      <c r="BS2" s="34"/>
      <c r="BT2" s="31"/>
      <c r="BU2" s="34" t="s">
        <v>153</v>
      </c>
      <c r="BV2" s="31" t="s">
        <v>330</v>
      </c>
      <c r="BW2" s="34" t="s">
        <v>532</v>
      </c>
      <c r="BX2" s="31" t="s">
        <v>280</v>
      </c>
      <c r="BY2" s="34"/>
      <c r="BZ2" s="31"/>
      <c r="CA2" s="34" t="s">
        <v>853</v>
      </c>
      <c r="CB2" s="31" t="s">
        <v>1216</v>
      </c>
      <c r="CC2" s="34"/>
      <c r="CD2" s="31"/>
      <c r="CE2" s="34" t="s">
        <v>275</v>
      </c>
      <c r="CF2" s="31" t="s">
        <v>253</v>
      </c>
      <c r="CG2" s="34"/>
      <c r="CH2" s="31" t="s">
        <v>929</v>
      </c>
      <c r="CI2" s="34"/>
      <c r="CJ2" s="31" t="s">
        <v>323</v>
      </c>
      <c r="CK2" s="34"/>
      <c r="CL2" s="31"/>
      <c r="CM2" s="34" t="s">
        <v>519</v>
      </c>
      <c r="CN2" s="31" t="s">
        <v>487</v>
      </c>
      <c r="CO2" s="34" t="s">
        <v>307</v>
      </c>
      <c r="CP2" s="31"/>
      <c r="CQ2" s="34"/>
      <c r="CR2" s="31" t="s">
        <v>261</v>
      </c>
      <c r="CS2" s="34" t="s">
        <v>892</v>
      </c>
      <c r="CT2" s="31" t="s">
        <v>494</v>
      </c>
      <c r="CU2" s="34" t="s">
        <v>99</v>
      </c>
      <c r="CV2" s="31" t="s">
        <v>852</v>
      </c>
      <c r="CW2" s="34"/>
      <c r="CX2" s="31"/>
      <c r="CY2" s="34"/>
      <c r="CZ2" s="31"/>
      <c r="DA2" s="34"/>
      <c r="DB2" s="31" t="s">
        <v>115</v>
      </c>
      <c r="DC2" s="34"/>
      <c r="DD2" s="31" t="s">
        <v>916</v>
      </c>
      <c r="DE2" s="34" t="s">
        <v>134</v>
      </c>
      <c r="DF2" s="31"/>
      <c r="DG2" s="34" t="s">
        <v>37</v>
      </c>
      <c r="DH2" s="31" t="s">
        <v>220</v>
      </c>
      <c r="DI2" s="34" t="s">
        <v>858</v>
      </c>
      <c r="DJ2" s="31" t="s">
        <v>272</v>
      </c>
      <c r="DK2" s="34"/>
      <c r="DL2" s="31" t="s">
        <v>428</v>
      </c>
      <c r="DM2" s="34" t="s">
        <v>179</v>
      </c>
      <c r="DN2" s="31" t="s">
        <v>868</v>
      </c>
      <c r="DO2" s="34" t="s">
        <v>234</v>
      </c>
      <c r="DP2" s="31"/>
      <c r="DQ2" s="34"/>
      <c r="DR2" s="31"/>
      <c r="DS2" s="34"/>
      <c r="DT2" s="31"/>
      <c r="DU2" s="34" t="s">
        <v>267</v>
      </c>
      <c r="DV2" s="31" t="s">
        <v>109</v>
      </c>
      <c r="DW2" s="34" t="s">
        <v>895</v>
      </c>
      <c r="DX2" s="31" t="s">
        <v>932</v>
      </c>
      <c r="DY2" s="34"/>
      <c r="DZ2" s="31"/>
      <c r="EA2" s="34" t="s">
        <v>595</v>
      </c>
      <c r="EB2" s="31"/>
      <c r="EC2" s="34"/>
      <c r="ED2" s="31"/>
      <c r="EE2" s="34" t="s">
        <v>83</v>
      </c>
      <c r="EF2" s="31"/>
      <c r="EG2" s="34"/>
      <c r="EH2" s="31" t="s">
        <v>250</v>
      </c>
      <c r="EI2" s="34"/>
      <c r="EJ2" s="31"/>
      <c r="EK2" s="34"/>
      <c r="EL2" s="31"/>
      <c r="EM2" s="34"/>
      <c r="EN2" s="31"/>
      <c r="EO2" s="34"/>
      <c r="EP2" s="31"/>
      <c r="EQ2" s="34"/>
      <c r="ER2" s="31"/>
      <c r="ES2" s="34" t="s">
        <v>935</v>
      </c>
      <c r="ET2" s="31" t="s">
        <v>1036</v>
      </c>
      <c r="EU2" s="34"/>
      <c r="EV2" s="31" t="s">
        <v>286</v>
      </c>
      <c r="EW2" s="34" t="s">
        <v>983</v>
      </c>
      <c r="EX2" s="31"/>
      <c r="EY2" s="34" t="s">
        <v>559</v>
      </c>
      <c r="EZ2" s="31"/>
      <c r="FA2" s="34" t="s">
        <v>910</v>
      </c>
      <c r="FB2" s="31"/>
      <c r="FC2" s="34"/>
      <c r="FD2" s="31" t="s">
        <v>484</v>
      </c>
      <c r="FE2" s="34"/>
      <c r="FF2" s="31"/>
      <c r="FG2" s="34"/>
      <c r="FH2" s="31"/>
      <c r="FI2" s="34" t="s">
        <v>354</v>
      </c>
      <c r="FJ2" s="31"/>
      <c r="FK2" s="34"/>
      <c r="FL2" s="31"/>
      <c r="FM2" s="34"/>
      <c r="FN2" s="31" t="s">
        <v>465</v>
      </c>
      <c r="FO2" s="34"/>
      <c r="FP2" s="31"/>
      <c r="FQ2" s="34"/>
      <c r="FR2" s="31"/>
      <c r="FS2" s="38" t="s">
        <v>237</v>
      </c>
      <c r="FT2" s="39"/>
      <c r="FU2" s="34" t="s">
        <v>630</v>
      </c>
      <c r="FV2" s="31"/>
      <c r="FW2" s="34"/>
      <c r="FX2" s="31"/>
      <c r="FY2" s="34" t="s">
        <v>562</v>
      </c>
      <c r="FZ2" s="31"/>
      <c r="GA2" s="34"/>
      <c r="GB2" s="31"/>
      <c r="GC2" s="34" t="s">
        <v>491</v>
      </c>
      <c r="GD2" s="31" t="s">
        <v>64</v>
      </c>
      <c r="GE2" s="34" t="s">
        <v>91</v>
      </c>
      <c r="GF2" s="31"/>
      <c r="GG2" s="34"/>
      <c r="GH2" s="31"/>
      <c r="GI2" s="34" t="s">
        <v>454</v>
      </c>
      <c r="GJ2" s="31"/>
      <c r="GK2" s="34"/>
      <c r="GL2" s="31" t="s">
        <v>106</v>
      </c>
      <c r="GM2" s="34" t="s">
        <v>501</v>
      </c>
      <c r="GN2" s="31"/>
      <c r="GO2" s="34" t="s">
        <v>96</v>
      </c>
      <c r="GP2" s="31"/>
      <c r="GQ2" s="34"/>
      <c r="GR2" s="31"/>
      <c r="GS2" s="34"/>
      <c r="GT2" s="31"/>
      <c r="GU2" s="34"/>
      <c r="GV2" s="31"/>
      <c r="GW2" s="34" t="s">
        <v>227</v>
      </c>
      <c r="GX2" s="31"/>
      <c r="GY2" s="34" t="s">
        <v>556</v>
      </c>
      <c r="GZ2" s="31" t="s">
        <v>894</v>
      </c>
      <c r="HA2" s="34"/>
      <c r="HB2" s="31" t="s">
        <v>333</v>
      </c>
      <c r="HC2" s="34"/>
      <c r="HD2" s="30" t="s">
        <v>102</v>
      </c>
      <c r="HE2" s="34" t="s">
        <v>901</v>
      </c>
      <c r="HF2" s="31" t="s">
        <v>337</v>
      </c>
      <c r="HG2" s="34"/>
      <c r="HH2" s="31"/>
      <c r="HI2" s="34"/>
      <c r="HJ2" s="31" t="s">
        <v>1055</v>
      </c>
      <c r="HK2" s="34" t="s">
        <v>77</v>
      </c>
      <c r="HL2" s="31"/>
      <c r="HM2" s="34"/>
      <c r="HN2" s="31"/>
      <c r="HO2" s="34" t="s">
        <v>523</v>
      </c>
      <c r="HP2" s="31"/>
      <c r="HQ2" s="34" t="s">
        <v>1303</v>
      </c>
      <c r="HR2" s="31"/>
      <c r="HS2" s="34" t="s">
        <v>195</v>
      </c>
      <c r="HT2" s="31"/>
      <c r="HU2" s="34" t="s">
        <v>183</v>
      </c>
      <c r="HV2" s="31"/>
      <c r="HW2" s="34"/>
      <c r="HX2" s="39" t="s">
        <v>163</v>
      </c>
      <c r="HY2" s="39" t="s">
        <v>877</v>
      </c>
      <c r="HZ2" s="31"/>
      <c r="IA2" s="34" t="s">
        <v>544</v>
      </c>
      <c r="IB2" s="31"/>
      <c r="IC2" s="34" t="s">
        <v>856</v>
      </c>
      <c r="ID2" s="31" t="s">
        <v>118</v>
      </c>
      <c r="IE2" s="34"/>
      <c r="IF2" s="31" t="s">
        <v>513</v>
      </c>
      <c r="IG2" s="34"/>
      <c r="IH2" s="31"/>
      <c r="II2" s="34"/>
      <c r="IJ2" s="31" t="s">
        <v>460</v>
      </c>
      <c r="IK2" s="34"/>
      <c r="IL2" s="31" t="s">
        <v>80</v>
      </c>
      <c r="IM2" s="34" t="s">
        <v>175</v>
      </c>
      <c r="IN2" s="31"/>
      <c r="IO2" s="34"/>
      <c r="IP2" s="31" t="s">
        <v>45</v>
      </c>
      <c r="IQ2" s="34"/>
      <c r="IR2" s="31"/>
      <c r="IS2" s="34"/>
      <c r="IT2" s="31" t="s">
        <v>855</v>
      </c>
      <c r="IU2" s="34"/>
      <c r="IV2" s="31" t="s">
        <v>315</v>
      </c>
      <c r="IW2" s="34" t="s">
        <v>927</v>
      </c>
      <c r="IX2" s="31" t="s">
        <v>344</v>
      </c>
      <c r="IY2" s="34"/>
      <c r="IZ2" s="31" t="s">
        <v>944</v>
      </c>
      <c r="JA2" s="34" t="s">
        <v>871</v>
      </c>
      <c r="JB2" s="36"/>
    </row>
    <row r="3" spans="1:262" ht="30" customHeight="1" x14ac:dyDescent="0.25">
      <c r="A3" s="27" t="s">
        <v>1237</v>
      </c>
      <c r="B3" s="48" t="str">
        <f t="shared" si="0"/>
        <v>1st Choice Development
Alpha Energy Management, Inc.
Bright Power
California Solar Integrators, Inc.
California State Development
Centrica Business Solutions
Chico Electric
Climatec
Communication Infrastructure Corporation (CIC)
DC Solar Electric, Inc
EDF Renewables Distributed Solutions
Enel X North America
Energy Independence Group
Engie Services US
ForeFront Power
Gold Rush Energy Solutions
GRID Alternatives
GS Homes
Ilum Solar
Incentive Electric
Infinity Energy Inc
Kuubix Energy, Inc.
LA Solar Group
Laibach Solar
LLUMETEC
Mack Electric/Gardner Energy
NRG Clean Power
Pacific Rim ConstructioRAM SOLAR
Pacific Sun Technologies
Promise Energy Inc
REC Solar
Sage Energy Consulting
Solar Gain West LLC
Solar Pros Inc.
Solar Savings Direct
Solar Symphony Construction Inc
Stem, Inc.
Stronghold Engineering
Sunnova Energy
SunPower by Hooked On Solar
SunPower Corporation
Sunterra Solar Inc
Sunworks
Sustainable Energy Group
Swell Energy</v>
      </c>
      <c r="C3" s="29" t="s">
        <v>857</v>
      </c>
      <c r="D3" s="31"/>
      <c r="E3" s="34"/>
      <c r="F3" s="31"/>
      <c r="G3" s="34"/>
      <c r="H3" s="31"/>
      <c r="I3" s="34"/>
      <c r="J3" s="31"/>
      <c r="K3" s="34"/>
      <c r="L3" s="31"/>
      <c r="M3" s="34"/>
      <c r="N3" s="30" t="s">
        <v>1295</v>
      </c>
      <c r="O3" s="34"/>
      <c r="P3" s="31"/>
      <c r="Q3" s="34"/>
      <c r="R3" s="31"/>
      <c r="S3" s="34"/>
      <c r="T3" s="31"/>
      <c r="U3" s="34"/>
      <c r="V3" s="31"/>
      <c r="W3" s="34"/>
      <c r="X3" s="31"/>
      <c r="Y3" s="34"/>
      <c r="Z3" s="31"/>
      <c r="AA3" s="34"/>
      <c r="AB3" s="31"/>
      <c r="AC3" s="34"/>
      <c r="AD3" s="31"/>
      <c r="AE3" s="34"/>
      <c r="AF3" s="31"/>
      <c r="AG3" s="34"/>
      <c r="AH3" s="31"/>
      <c r="AI3" s="34" t="s">
        <v>202</v>
      </c>
      <c r="AJ3" s="31"/>
      <c r="AK3" s="34"/>
      <c r="AL3" s="31"/>
      <c r="AM3" s="34"/>
      <c r="AN3" s="31"/>
      <c r="AO3" s="34" t="s">
        <v>497</v>
      </c>
      <c r="AP3" s="31" t="s">
        <v>1231</v>
      </c>
      <c r="AQ3" s="34"/>
      <c r="AR3" s="31"/>
      <c r="AS3" s="34" t="s">
        <v>60</v>
      </c>
      <c r="AT3" s="31" t="s">
        <v>205</v>
      </c>
      <c r="AU3" s="34"/>
      <c r="AV3" s="31"/>
      <c r="AW3" s="34"/>
      <c r="AX3" s="31"/>
      <c r="AY3" s="34"/>
      <c r="AZ3" s="31"/>
      <c r="BA3" s="34" t="s">
        <v>351</v>
      </c>
      <c r="BB3" s="31"/>
      <c r="BC3" s="34"/>
      <c r="BD3" s="31"/>
      <c r="BE3" s="34" t="s">
        <v>1215</v>
      </c>
      <c r="BF3" s="31"/>
      <c r="BG3" s="34"/>
      <c r="BH3" s="31"/>
      <c r="BI3" s="34"/>
      <c r="BJ3" s="31" t="s">
        <v>321</v>
      </c>
      <c r="BK3" s="34"/>
      <c r="BL3" s="31"/>
      <c r="BM3" s="34"/>
      <c r="BN3" s="31"/>
      <c r="BO3" s="34"/>
      <c r="BP3" s="31"/>
      <c r="BQ3" s="34" t="s">
        <v>391</v>
      </c>
      <c r="BR3" s="31"/>
      <c r="BS3" s="34"/>
      <c r="BT3" s="31"/>
      <c r="BU3" s="34"/>
      <c r="BV3" s="31"/>
      <c r="BW3" s="34" t="s">
        <v>532</v>
      </c>
      <c r="BX3" s="31" t="s">
        <v>280</v>
      </c>
      <c r="BY3" s="34"/>
      <c r="BZ3" s="31"/>
      <c r="CA3" s="34" t="s">
        <v>853</v>
      </c>
      <c r="CB3" s="31"/>
      <c r="CC3" s="34"/>
      <c r="CD3" s="31"/>
      <c r="CE3" s="34" t="s">
        <v>275</v>
      </c>
      <c r="CF3" s="31"/>
      <c r="CG3" s="34"/>
      <c r="CH3" s="31"/>
      <c r="CI3" s="34"/>
      <c r="CJ3" s="31"/>
      <c r="CK3" s="34"/>
      <c r="CL3" s="31"/>
      <c r="CM3" s="34"/>
      <c r="CN3" s="31" t="s">
        <v>487</v>
      </c>
      <c r="CO3" s="34"/>
      <c r="CP3" s="31"/>
      <c r="CQ3" s="34"/>
      <c r="CR3" s="31"/>
      <c r="CS3" s="34"/>
      <c r="CT3" s="31"/>
      <c r="CU3" s="34" t="s">
        <v>99</v>
      </c>
      <c r="CV3" s="31" t="s">
        <v>852</v>
      </c>
      <c r="CW3" s="34"/>
      <c r="CX3" s="31"/>
      <c r="CY3" s="34"/>
      <c r="CZ3" s="31"/>
      <c r="DA3" s="34"/>
      <c r="DB3" s="31"/>
      <c r="DC3" s="34"/>
      <c r="DD3" s="31"/>
      <c r="DE3" s="34"/>
      <c r="DF3" s="31"/>
      <c r="DG3" s="34"/>
      <c r="DH3" s="31"/>
      <c r="DI3" s="34"/>
      <c r="DJ3" s="31" t="s">
        <v>272</v>
      </c>
      <c r="DK3" s="34" t="s">
        <v>52</v>
      </c>
      <c r="DL3" s="31" t="s">
        <v>428</v>
      </c>
      <c r="DM3" s="34"/>
      <c r="DN3" s="31"/>
      <c r="DO3" s="34"/>
      <c r="DP3" s="31"/>
      <c r="DQ3" s="34"/>
      <c r="DR3" s="31"/>
      <c r="DS3" s="34"/>
      <c r="DT3" s="31"/>
      <c r="DU3" s="34"/>
      <c r="DV3" s="31" t="s">
        <v>109</v>
      </c>
      <c r="DW3" s="34" t="s">
        <v>895</v>
      </c>
      <c r="DX3" s="31" t="s">
        <v>932</v>
      </c>
      <c r="DY3" s="34"/>
      <c r="DZ3" s="31"/>
      <c r="EA3" s="34" t="s">
        <v>595</v>
      </c>
      <c r="EB3" s="31"/>
      <c r="EC3" s="34"/>
      <c r="ED3" s="31"/>
      <c r="EE3" s="34" t="s">
        <v>83</v>
      </c>
      <c r="EF3" s="31"/>
      <c r="EG3" s="34"/>
      <c r="EH3" s="31"/>
      <c r="EI3" s="34"/>
      <c r="EJ3" s="31"/>
      <c r="EK3" s="34"/>
      <c r="EL3" s="31"/>
      <c r="EM3" s="34"/>
      <c r="EN3" s="31"/>
      <c r="EO3" s="34"/>
      <c r="EP3" s="31"/>
      <c r="EQ3" s="34"/>
      <c r="ER3" s="31"/>
      <c r="ES3" s="34" t="s">
        <v>935</v>
      </c>
      <c r="ET3" s="31"/>
      <c r="EU3" s="34"/>
      <c r="EV3" s="31"/>
      <c r="EW3" s="34" t="s">
        <v>983</v>
      </c>
      <c r="EX3" s="31" t="s">
        <v>903</v>
      </c>
      <c r="EY3" s="34"/>
      <c r="EZ3" s="31"/>
      <c r="FA3" s="34"/>
      <c r="FB3" s="31"/>
      <c r="FC3" s="34"/>
      <c r="FD3" s="31" t="s">
        <v>484</v>
      </c>
      <c r="FE3" s="34"/>
      <c r="FF3" s="31"/>
      <c r="FG3" s="34"/>
      <c r="FH3" s="31"/>
      <c r="FI3" s="34" t="s">
        <v>354</v>
      </c>
      <c r="FJ3" s="31"/>
      <c r="FK3" s="34"/>
      <c r="FL3" s="31"/>
      <c r="FM3" s="34"/>
      <c r="FN3" s="31" t="s">
        <v>465</v>
      </c>
      <c r="FO3" s="34"/>
      <c r="FP3" s="31"/>
      <c r="FQ3" s="34"/>
      <c r="FR3" s="31"/>
      <c r="FS3" s="39"/>
      <c r="FT3" s="39"/>
      <c r="FU3" s="34"/>
      <c r="FV3" s="31"/>
      <c r="FW3" s="34"/>
      <c r="FX3" s="31"/>
      <c r="FY3" s="34"/>
      <c r="FZ3" s="31"/>
      <c r="GA3" s="34"/>
      <c r="GB3" s="31"/>
      <c r="GC3" s="34"/>
      <c r="GD3" s="31"/>
      <c r="GE3" s="34"/>
      <c r="GF3" s="31"/>
      <c r="GG3" s="34"/>
      <c r="GH3" s="31"/>
      <c r="GI3" s="34" t="s">
        <v>454</v>
      </c>
      <c r="GJ3" s="31"/>
      <c r="GK3" s="34"/>
      <c r="GL3" s="31"/>
      <c r="GM3" s="34" t="s">
        <v>501</v>
      </c>
      <c r="GN3" s="31"/>
      <c r="GO3" s="34" t="s">
        <v>96</v>
      </c>
      <c r="GP3" s="31"/>
      <c r="GQ3" s="34" t="s">
        <v>244</v>
      </c>
      <c r="GR3" s="31"/>
      <c r="GS3" s="34"/>
      <c r="GT3" s="31"/>
      <c r="GU3" s="34"/>
      <c r="GV3" s="31"/>
      <c r="GW3" s="34"/>
      <c r="GX3" s="31"/>
      <c r="GY3" s="34"/>
      <c r="GZ3" s="31"/>
      <c r="HA3" s="34"/>
      <c r="HB3" s="31"/>
      <c r="HC3" s="34"/>
      <c r="HD3" s="30" t="s">
        <v>102</v>
      </c>
      <c r="HE3" s="34" t="s">
        <v>901</v>
      </c>
      <c r="HF3" s="31"/>
      <c r="HG3" s="34"/>
      <c r="HH3" s="31"/>
      <c r="HI3" s="34"/>
      <c r="HJ3" s="31"/>
      <c r="HK3" s="34"/>
      <c r="HL3" s="31"/>
      <c r="HM3" s="34"/>
      <c r="HN3" s="31"/>
      <c r="HO3" s="34" t="s">
        <v>523</v>
      </c>
      <c r="HP3" s="31"/>
      <c r="HQ3" s="34" t="s">
        <v>1303</v>
      </c>
      <c r="HR3" s="31"/>
      <c r="HS3" s="34" t="s">
        <v>195</v>
      </c>
      <c r="HT3" s="31"/>
      <c r="HU3" s="34"/>
      <c r="HV3" s="31"/>
      <c r="HW3" s="34"/>
      <c r="HX3" s="39" t="s">
        <v>163</v>
      </c>
      <c r="HY3" s="39" t="s">
        <v>877</v>
      </c>
      <c r="HZ3" s="31" t="s">
        <v>49</v>
      </c>
      <c r="IA3" s="34"/>
      <c r="IB3" s="31"/>
      <c r="IC3" s="34" t="s">
        <v>856</v>
      </c>
      <c r="ID3" s="31"/>
      <c r="IE3" s="34"/>
      <c r="IF3" s="31"/>
      <c r="IG3" s="34"/>
      <c r="IH3" s="31"/>
      <c r="II3" s="34"/>
      <c r="IJ3" s="31"/>
      <c r="IK3" s="34"/>
      <c r="IL3" s="31"/>
      <c r="IM3" s="34"/>
      <c r="IN3" s="31"/>
      <c r="IO3" s="34"/>
      <c r="IP3" s="31"/>
      <c r="IQ3" s="34"/>
      <c r="IR3" s="31"/>
      <c r="IS3" s="34"/>
      <c r="IT3" s="31"/>
      <c r="IU3" s="34"/>
      <c r="IV3" s="31"/>
      <c r="IW3" s="34"/>
      <c r="IX3" s="31"/>
      <c r="IY3" s="34"/>
      <c r="IZ3" s="31"/>
      <c r="JA3" s="34"/>
      <c r="JB3" s="36"/>
    </row>
    <row r="4" spans="1:262" ht="30" customHeight="1" x14ac:dyDescent="0.25">
      <c r="A4" s="26" t="s">
        <v>1238</v>
      </c>
      <c r="B4" s="48" t="str">
        <f t="shared" si="0"/>
        <v>1st Choice Development
ACR Solar
Alpha Energy Management, Inc.
Apollo Home Performance
Aztec Solar Inc.
Bright Power
CalCom Energy
California Solar Electric Cooperative
California Solar Integrators, Inc.
California State Development
Capital City Solar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Future Energy Corporation
Gold Rush Energy Solutions
GRID Alternatives
GS Homes
I Love My Solar
Ilum Solar
Infinity Energy Inc
Klein Power Electric
Kota Construction
Kuubix Energy, Inc.
Laibach Solar
LLUMETEC
Mack Electric/Gardner Energy
Modernize Construction
North State Solar Energy Construction
NRG Clean Power
Pacific Rim ConstructioRAM SOLAR
Promise Energy Inc
REC Solar
Sage Energy Consulting
Sierra Energy Savers
Sierra Pacific
SIG Solar
Solar Gain West LLC
Solar Optimum Inc
Solar Pros Inc.
Solar Savings Direct
SolarNorcal, LLC
Stem, Inc.
Stronghold Engineering
Sun River Solar
Sunnova Energy
SunPower by Hooked On Solar
SunPower Corporation
Sunterra Solar Inc
Sunworks
Swell Energy
Synergy Power
V3 Electric Inc
Vivint Solar
West Coast Solar
Westhaven Inc.
Your Energy Source (YES)</v>
      </c>
      <c r="C4" s="29" t="s">
        <v>857</v>
      </c>
      <c r="D4" s="31"/>
      <c r="E4" s="34"/>
      <c r="F4" s="31"/>
      <c r="G4" s="34" t="s">
        <v>866</v>
      </c>
      <c r="H4" s="31"/>
      <c r="I4" s="34"/>
      <c r="J4" s="31"/>
      <c r="K4" s="34"/>
      <c r="L4" s="31"/>
      <c r="M4" s="34"/>
      <c r="N4" s="30" t="s">
        <v>1295</v>
      </c>
      <c r="O4" s="34"/>
      <c r="P4" s="31"/>
      <c r="Q4" s="34"/>
      <c r="R4" s="31"/>
      <c r="S4" s="34"/>
      <c r="T4" s="31"/>
      <c r="U4" s="34" t="s">
        <v>915</v>
      </c>
      <c r="V4" s="31"/>
      <c r="W4" s="34"/>
      <c r="X4" s="31" t="s">
        <v>401</v>
      </c>
      <c r="Y4" s="34"/>
      <c r="Z4" s="31"/>
      <c r="AA4" s="34"/>
      <c r="AB4" s="31"/>
      <c r="AC4" s="34"/>
      <c r="AD4" s="31"/>
      <c r="AE4" s="34"/>
      <c r="AF4" s="31"/>
      <c r="AG4" s="34"/>
      <c r="AH4" s="31"/>
      <c r="AI4" s="34" t="s">
        <v>202</v>
      </c>
      <c r="AJ4" s="31"/>
      <c r="AK4" s="34"/>
      <c r="AL4" s="31" t="s">
        <v>217</v>
      </c>
      <c r="AM4" s="34"/>
      <c r="AN4" s="30" t="s">
        <v>505</v>
      </c>
      <c r="AO4" s="34" t="s">
        <v>497</v>
      </c>
      <c r="AP4" s="31" t="s">
        <v>1231</v>
      </c>
      <c r="AQ4" s="34"/>
      <c r="AR4" s="31" t="s">
        <v>923</v>
      </c>
      <c r="AS4" s="34" t="s">
        <v>60</v>
      </c>
      <c r="AT4" s="31" t="s">
        <v>205</v>
      </c>
      <c r="AU4" s="34"/>
      <c r="AV4" s="31" t="s">
        <v>199</v>
      </c>
      <c r="AW4" s="34"/>
      <c r="AX4" s="31"/>
      <c r="AY4" s="34"/>
      <c r="AZ4" s="31"/>
      <c r="BA4" s="34" t="s">
        <v>351</v>
      </c>
      <c r="BB4" s="31"/>
      <c r="BC4" s="34"/>
      <c r="BD4" s="31"/>
      <c r="BE4" s="34" t="s">
        <v>1215</v>
      </c>
      <c r="BF4" s="31"/>
      <c r="BG4" s="34"/>
      <c r="BH4" s="31"/>
      <c r="BI4" s="34"/>
      <c r="BJ4" s="31" t="s">
        <v>321</v>
      </c>
      <c r="BK4" s="34"/>
      <c r="BL4" s="31"/>
      <c r="BM4" s="34"/>
      <c r="BN4" s="31"/>
      <c r="BO4" s="34"/>
      <c r="BP4" s="31"/>
      <c r="BQ4" s="34" t="s">
        <v>391</v>
      </c>
      <c r="BR4" s="31"/>
      <c r="BS4" s="34"/>
      <c r="BT4" s="31"/>
      <c r="BU4" s="34"/>
      <c r="BV4" s="31" t="s">
        <v>330</v>
      </c>
      <c r="BW4" s="34" t="s">
        <v>532</v>
      </c>
      <c r="BX4" s="31" t="s">
        <v>280</v>
      </c>
      <c r="BY4" s="34"/>
      <c r="BZ4" s="31"/>
      <c r="CA4" s="34" t="s">
        <v>853</v>
      </c>
      <c r="CB4" s="31"/>
      <c r="CC4" s="34"/>
      <c r="CD4" s="31"/>
      <c r="CE4" s="34" t="s">
        <v>275</v>
      </c>
      <c r="CF4" s="31"/>
      <c r="CG4" s="34"/>
      <c r="CH4" s="31"/>
      <c r="CI4" s="34"/>
      <c r="CJ4" s="31" t="s">
        <v>323</v>
      </c>
      <c r="CK4" s="34"/>
      <c r="CL4" s="31"/>
      <c r="CM4" s="34"/>
      <c r="CN4" s="31" t="s">
        <v>487</v>
      </c>
      <c r="CO4" s="34"/>
      <c r="CP4" s="31"/>
      <c r="CQ4" s="34"/>
      <c r="CR4" s="31"/>
      <c r="CS4" s="34"/>
      <c r="CT4" s="31"/>
      <c r="CU4" s="34" t="s">
        <v>99</v>
      </c>
      <c r="CV4" s="31" t="s">
        <v>852</v>
      </c>
      <c r="CW4" s="34"/>
      <c r="CX4" s="31"/>
      <c r="CY4" s="34"/>
      <c r="CZ4" s="31"/>
      <c r="DA4" s="34"/>
      <c r="DB4" s="31"/>
      <c r="DC4" s="34"/>
      <c r="DD4" s="31"/>
      <c r="DE4" s="34"/>
      <c r="DF4" s="31"/>
      <c r="DG4" s="34"/>
      <c r="DH4" s="31"/>
      <c r="DI4" s="34" t="s">
        <v>858</v>
      </c>
      <c r="DJ4" s="31" t="s">
        <v>272</v>
      </c>
      <c r="DK4" s="34"/>
      <c r="DL4" s="31" t="s">
        <v>428</v>
      </c>
      <c r="DM4" s="34"/>
      <c r="DN4" s="31"/>
      <c r="DO4" s="34"/>
      <c r="DP4" s="31"/>
      <c r="DQ4" s="34"/>
      <c r="DR4" s="31"/>
      <c r="DS4" s="34"/>
      <c r="DT4" s="31" t="s">
        <v>41</v>
      </c>
      <c r="DU4" s="34" t="s">
        <v>267</v>
      </c>
      <c r="DV4" s="31" t="s">
        <v>109</v>
      </c>
      <c r="DW4" s="34"/>
      <c r="DX4" s="31" t="s">
        <v>932</v>
      </c>
      <c r="DY4" s="34"/>
      <c r="DZ4" s="31"/>
      <c r="EA4" s="34" t="s">
        <v>595</v>
      </c>
      <c r="EB4" s="31"/>
      <c r="EC4" s="34"/>
      <c r="ED4" s="31"/>
      <c r="EE4" s="34" t="s">
        <v>83</v>
      </c>
      <c r="EF4" s="31"/>
      <c r="EG4" s="34"/>
      <c r="EH4" s="31"/>
      <c r="EI4" s="34"/>
      <c r="EJ4" s="31" t="s">
        <v>136</v>
      </c>
      <c r="EK4" s="34"/>
      <c r="EL4" s="31"/>
      <c r="EM4" s="34"/>
      <c r="EN4" s="31"/>
      <c r="EO4" s="34"/>
      <c r="EP4" s="31"/>
      <c r="EQ4" s="34" t="s">
        <v>363</v>
      </c>
      <c r="ER4" s="31"/>
      <c r="ES4" s="34" t="s">
        <v>935</v>
      </c>
      <c r="ET4" s="31"/>
      <c r="EU4" s="34"/>
      <c r="EV4" s="31"/>
      <c r="EW4" s="34" t="s">
        <v>983</v>
      </c>
      <c r="EX4" s="31"/>
      <c r="EY4" s="34"/>
      <c r="EZ4" s="31"/>
      <c r="FA4" s="34"/>
      <c r="FB4" s="31"/>
      <c r="FC4" s="34"/>
      <c r="FD4" s="31" t="s">
        <v>484</v>
      </c>
      <c r="FE4" s="34"/>
      <c r="FF4" s="31"/>
      <c r="FG4" s="34"/>
      <c r="FH4" s="31"/>
      <c r="FI4" s="34" t="s">
        <v>354</v>
      </c>
      <c r="FJ4" s="31"/>
      <c r="FK4" s="34"/>
      <c r="FL4" s="31"/>
      <c r="FM4" s="34"/>
      <c r="FN4" s="31" t="s">
        <v>465</v>
      </c>
      <c r="FO4" s="34"/>
      <c r="FP4" s="31"/>
      <c r="FQ4" s="34"/>
      <c r="FR4" s="31"/>
      <c r="FS4" s="39"/>
      <c r="FT4" s="39"/>
      <c r="FU4" s="34"/>
      <c r="FV4" s="31" t="s">
        <v>139</v>
      </c>
      <c r="FW4" s="34" t="s">
        <v>886</v>
      </c>
      <c r="FX4" s="31" t="s">
        <v>934</v>
      </c>
      <c r="FY4" s="34"/>
      <c r="FZ4" s="31"/>
      <c r="GA4" s="34"/>
      <c r="GB4" s="31"/>
      <c r="GC4" s="34"/>
      <c r="GD4" s="31"/>
      <c r="GE4" s="34"/>
      <c r="GF4" s="31"/>
      <c r="GG4" s="34"/>
      <c r="GH4" s="31"/>
      <c r="GI4" s="34" t="s">
        <v>454</v>
      </c>
      <c r="GJ4" s="31"/>
      <c r="GK4" s="34"/>
      <c r="GL4" s="31" t="s">
        <v>106</v>
      </c>
      <c r="GM4" s="34" t="s">
        <v>501</v>
      </c>
      <c r="GN4" s="31"/>
      <c r="GO4" s="34" t="s">
        <v>96</v>
      </c>
      <c r="GP4" s="31"/>
      <c r="GQ4" s="34"/>
      <c r="GR4" s="31"/>
      <c r="GS4" s="34"/>
      <c r="GT4" s="31"/>
      <c r="GU4" s="34" t="s">
        <v>160</v>
      </c>
      <c r="GV4" s="31"/>
      <c r="GW4" s="34"/>
      <c r="GX4" s="31"/>
      <c r="GY4" s="34"/>
      <c r="GZ4" s="31"/>
      <c r="HA4" s="34"/>
      <c r="HB4" s="31"/>
      <c r="HC4" s="34"/>
      <c r="HD4" s="30" t="s">
        <v>102</v>
      </c>
      <c r="HE4" s="34" t="s">
        <v>901</v>
      </c>
      <c r="HF4" s="31"/>
      <c r="HG4" s="34"/>
      <c r="HH4" s="31" t="s">
        <v>297</v>
      </c>
      <c r="HI4" s="34"/>
      <c r="HJ4" s="31"/>
      <c r="HK4" s="34"/>
      <c r="HL4" s="31"/>
      <c r="HM4" s="34"/>
      <c r="HN4" s="31"/>
      <c r="HO4" s="34" t="s">
        <v>523</v>
      </c>
      <c r="HP4" s="31"/>
      <c r="HQ4" s="34" t="s">
        <v>1303</v>
      </c>
      <c r="HR4" s="31"/>
      <c r="HS4" s="34" t="s">
        <v>195</v>
      </c>
      <c r="HT4" s="31"/>
      <c r="HU4" s="34"/>
      <c r="HV4" s="31"/>
      <c r="HW4" s="34"/>
      <c r="HX4" s="39" t="s">
        <v>163</v>
      </c>
      <c r="HY4" s="39" t="s">
        <v>877</v>
      </c>
      <c r="HZ4" s="31"/>
      <c r="IA4" s="34"/>
      <c r="IB4" s="31"/>
      <c r="IC4" s="34" t="s">
        <v>856</v>
      </c>
      <c r="ID4" s="31"/>
      <c r="IE4" s="34"/>
      <c r="IF4" s="31" t="s">
        <v>513</v>
      </c>
      <c r="IG4" s="34"/>
      <c r="IH4" s="31"/>
      <c r="II4" s="34"/>
      <c r="IJ4" s="31"/>
      <c r="IK4" s="34"/>
      <c r="IL4" s="31"/>
      <c r="IM4" s="34" t="s">
        <v>175</v>
      </c>
      <c r="IN4" s="31"/>
      <c r="IO4" s="34"/>
      <c r="IP4" s="31" t="s">
        <v>45</v>
      </c>
      <c r="IQ4" s="34"/>
      <c r="IR4" s="31"/>
      <c r="IS4" s="34"/>
      <c r="IT4" s="31" t="s">
        <v>855</v>
      </c>
      <c r="IU4" s="34"/>
      <c r="IV4" s="31" t="s">
        <v>315</v>
      </c>
      <c r="IW4" s="34"/>
      <c r="IX4" s="31"/>
      <c r="IY4" s="34"/>
      <c r="IZ4" s="31"/>
      <c r="JA4" s="34" t="s">
        <v>871</v>
      </c>
      <c r="JB4" s="36"/>
    </row>
    <row r="5" spans="1:262" ht="30" customHeight="1" x14ac:dyDescent="0.25">
      <c r="A5" s="27" t="s">
        <v>1239</v>
      </c>
      <c r="B5" s="48" t="str">
        <f t="shared" si="0"/>
        <v>1st Choice Development
3fficient
ACR Solar
Alpha Energy Management, Inc.
Apollo Home Performance
Aztec Solar Inc.
Bright Power
Byers
California Solar Electric Cooperative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Klein Power Electric
Kuubix Energy, Inc.
LA Solar Group
Laibach Solar
LLUMETEC
Mack Electric/Gardner Energy
North State Solar Energy Construction
NRG Clean Power
Pacific Rim ConstructioRAM SOLAR
Promise Energy Inc
REC Solar
Royal Aire Inc
Sage Energy Consulting
Solar Gain West LLC
Solar Pros Inc.
Solar Savings Direct
Spreck Energy
Stem, Inc.
Stronghold Engineering
Sun River Solar
Sunnova Energy
Sunon energy corporation
SunPower by Hooked On Solar
SunPower Corporation
SunStor
Sunterra Solar Inc
Sunworks
Sustainable Energy Group
Swell Energy
V3 Electric Inc
Vivint Solar
Westhaven Inc.
Your Energy Source (YES)</v>
      </c>
      <c r="C5" s="29" t="s">
        <v>857</v>
      </c>
      <c r="D5" s="30" t="s">
        <v>863</v>
      </c>
      <c r="E5" s="34"/>
      <c r="F5" s="31"/>
      <c r="G5" s="34" t="s">
        <v>866</v>
      </c>
      <c r="H5" s="31"/>
      <c r="I5" s="34"/>
      <c r="J5" s="31"/>
      <c r="K5" s="34"/>
      <c r="L5" s="31"/>
      <c r="M5" s="34"/>
      <c r="N5" s="30" t="s">
        <v>1295</v>
      </c>
      <c r="O5" s="34"/>
      <c r="P5" s="31"/>
      <c r="Q5" s="34"/>
      <c r="R5" s="31"/>
      <c r="S5" s="34"/>
      <c r="T5" s="31"/>
      <c r="U5" s="34" t="s">
        <v>915</v>
      </c>
      <c r="V5" s="31"/>
      <c r="W5" s="34"/>
      <c r="X5" s="31" t="s">
        <v>401</v>
      </c>
      <c r="Y5" s="34"/>
      <c r="Z5" s="31"/>
      <c r="AA5" s="34"/>
      <c r="AB5" s="31"/>
      <c r="AC5" s="34"/>
      <c r="AD5" s="31"/>
      <c r="AE5" s="34"/>
      <c r="AF5" s="31"/>
      <c r="AG5" s="34"/>
      <c r="AH5" s="31"/>
      <c r="AI5" s="34" t="s">
        <v>202</v>
      </c>
      <c r="AJ5" s="31"/>
      <c r="AK5" s="34" t="s">
        <v>882</v>
      </c>
      <c r="AL5" s="31"/>
      <c r="AM5" s="34"/>
      <c r="AN5" s="31" t="s">
        <v>505</v>
      </c>
      <c r="AO5" s="34" t="s">
        <v>497</v>
      </c>
      <c r="AP5" s="31" t="s">
        <v>1231</v>
      </c>
      <c r="AQ5" s="34"/>
      <c r="AR5" s="31"/>
      <c r="AS5" s="34" t="s">
        <v>60</v>
      </c>
      <c r="AT5" s="31" t="s">
        <v>205</v>
      </c>
      <c r="AU5" s="34"/>
      <c r="AV5" s="31" t="s">
        <v>199</v>
      </c>
      <c r="AW5" s="34"/>
      <c r="AX5" s="31"/>
      <c r="AY5" s="34"/>
      <c r="AZ5" s="31"/>
      <c r="BA5" s="34" t="s">
        <v>351</v>
      </c>
      <c r="BB5" s="31"/>
      <c r="BC5" s="34"/>
      <c r="BD5" s="31"/>
      <c r="BE5" s="34" t="s">
        <v>1215</v>
      </c>
      <c r="BF5" s="31"/>
      <c r="BG5" s="34"/>
      <c r="BH5" s="31"/>
      <c r="BI5" s="34"/>
      <c r="BJ5" s="31" t="s">
        <v>321</v>
      </c>
      <c r="BK5" s="34"/>
      <c r="BL5" s="31"/>
      <c r="BM5" s="34"/>
      <c r="BN5" s="31"/>
      <c r="BO5" s="34"/>
      <c r="BP5" s="31"/>
      <c r="BQ5" s="34" t="s">
        <v>391</v>
      </c>
      <c r="BR5" s="31"/>
      <c r="BS5" s="34"/>
      <c r="BT5" s="31"/>
      <c r="BU5" s="34"/>
      <c r="BV5" s="31" t="s">
        <v>330</v>
      </c>
      <c r="BW5" s="34" t="s">
        <v>532</v>
      </c>
      <c r="BX5" s="31" t="s">
        <v>280</v>
      </c>
      <c r="BY5" s="34"/>
      <c r="BZ5" s="31"/>
      <c r="CA5" s="34" t="s">
        <v>853</v>
      </c>
      <c r="CB5" s="31"/>
      <c r="CC5" s="34"/>
      <c r="CD5" s="31"/>
      <c r="CE5" s="34" t="s">
        <v>275</v>
      </c>
      <c r="CF5" s="31"/>
      <c r="CG5" s="34"/>
      <c r="CH5" s="31"/>
      <c r="CI5" s="34"/>
      <c r="CJ5" s="31"/>
      <c r="CK5" s="34"/>
      <c r="CL5" s="31"/>
      <c r="CM5" s="34"/>
      <c r="CN5" s="31" t="s">
        <v>487</v>
      </c>
      <c r="CO5" s="34"/>
      <c r="CP5" s="31"/>
      <c r="CQ5" s="34"/>
      <c r="CR5" s="31"/>
      <c r="CS5" s="34" t="s">
        <v>892</v>
      </c>
      <c r="CT5" s="31"/>
      <c r="CU5" s="34" t="s">
        <v>99</v>
      </c>
      <c r="CV5" s="31" t="s">
        <v>852</v>
      </c>
      <c r="CW5" s="34" t="s">
        <v>167</v>
      </c>
      <c r="CX5" s="31"/>
      <c r="CY5" s="34"/>
      <c r="CZ5" s="31"/>
      <c r="DA5" s="34"/>
      <c r="DB5" s="31"/>
      <c r="DC5" s="34"/>
      <c r="DD5" s="31"/>
      <c r="DE5" s="34" t="s">
        <v>134</v>
      </c>
      <c r="DF5" s="31"/>
      <c r="DG5" s="34"/>
      <c r="DH5" s="31"/>
      <c r="DI5" s="34"/>
      <c r="DJ5" s="31" t="s">
        <v>272</v>
      </c>
      <c r="DK5" s="34"/>
      <c r="DL5" s="31" t="s">
        <v>428</v>
      </c>
      <c r="DM5" s="34"/>
      <c r="DN5" s="31"/>
      <c r="DO5" s="34"/>
      <c r="DP5" s="31"/>
      <c r="DQ5" s="34"/>
      <c r="DR5" s="31"/>
      <c r="DS5" s="34"/>
      <c r="DT5" s="31" t="s">
        <v>41</v>
      </c>
      <c r="DU5" s="34"/>
      <c r="DV5" s="31" t="s">
        <v>109</v>
      </c>
      <c r="DW5" s="34" t="s">
        <v>895</v>
      </c>
      <c r="DX5" s="31" t="s">
        <v>932</v>
      </c>
      <c r="DY5" s="34"/>
      <c r="DZ5" s="31"/>
      <c r="EA5" s="34" t="s">
        <v>595</v>
      </c>
      <c r="EB5" s="31"/>
      <c r="EC5" s="34"/>
      <c r="ED5" s="31"/>
      <c r="EE5" s="34" t="s">
        <v>83</v>
      </c>
      <c r="EF5" s="31"/>
      <c r="EG5" s="34"/>
      <c r="EH5" s="31"/>
      <c r="EI5" s="34"/>
      <c r="EJ5" s="31"/>
      <c r="EK5" s="34"/>
      <c r="EL5" s="31"/>
      <c r="EM5" s="34"/>
      <c r="EN5" s="31"/>
      <c r="EO5" s="34"/>
      <c r="EP5" s="31"/>
      <c r="EQ5" s="34" t="s">
        <v>363</v>
      </c>
      <c r="ER5" s="31"/>
      <c r="ES5" s="34" t="s">
        <v>935</v>
      </c>
      <c r="ET5" s="31"/>
      <c r="EU5" s="34"/>
      <c r="EV5" s="31"/>
      <c r="EW5" s="34" t="s">
        <v>983</v>
      </c>
      <c r="EX5" s="31"/>
      <c r="EY5" s="34"/>
      <c r="EZ5" s="31"/>
      <c r="FA5" s="34"/>
      <c r="FB5" s="31"/>
      <c r="FC5" s="34"/>
      <c r="FD5" s="31" t="s">
        <v>484</v>
      </c>
      <c r="FE5" s="34"/>
      <c r="FF5" s="31"/>
      <c r="FG5" s="34"/>
      <c r="FH5" s="31"/>
      <c r="FI5" s="34" t="s">
        <v>354</v>
      </c>
      <c r="FJ5" s="31"/>
      <c r="FK5" s="34"/>
      <c r="FL5" s="31"/>
      <c r="FM5" s="34" t="s">
        <v>312</v>
      </c>
      <c r="FN5" s="31" t="s">
        <v>465</v>
      </c>
      <c r="FO5" s="34"/>
      <c r="FP5" s="31"/>
      <c r="FQ5" s="34"/>
      <c r="FR5" s="31"/>
      <c r="FS5" s="39"/>
      <c r="FT5" s="39"/>
      <c r="FU5" s="34"/>
      <c r="FV5" s="31"/>
      <c r="FW5" s="34"/>
      <c r="FX5" s="31"/>
      <c r="FY5" s="34"/>
      <c r="FZ5" s="31"/>
      <c r="GA5" s="34"/>
      <c r="GB5" s="31"/>
      <c r="GC5" s="34"/>
      <c r="GD5" s="31"/>
      <c r="GE5" s="34"/>
      <c r="GF5" s="31"/>
      <c r="GG5" s="34"/>
      <c r="GH5" s="31"/>
      <c r="GI5" s="34" t="s">
        <v>454</v>
      </c>
      <c r="GJ5" s="31"/>
      <c r="GK5" s="34"/>
      <c r="GL5" s="31"/>
      <c r="GM5" s="34" t="s">
        <v>501</v>
      </c>
      <c r="GN5" s="31"/>
      <c r="GO5" s="34" t="s">
        <v>96</v>
      </c>
      <c r="GP5" s="31"/>
      <c r="GQ5" s="34"/>
      <c r="GR5" s="31"/>
      <c r="GS5" s="34"/>
      <c r="GT5" s="31"/>
      <c r="GU5" s="34"/>
      <c r="GV5" s="31"/>
      <c r="GW5" s="34"/>
      <c r="GX5" s="31"/>
      <c r="GY5" s="34"/>
      <c r="GZ5" s="31" t="s">
        <v>894</v>
      </c>
      <c r="HA5" s="34"/>
      <c r="HB5" s="31"/>
      <c r="HC5" s="34"/>
      <c r="HD5" s="30" t="s">
        <v>102</v>
      </c>
      <c r="HE5" s="34" t="s">
        <v>901</v>
      </c>
      <c r="HF5" s="31"/>
      <c r="HG5" s="34"/>
      <c r="HH5" s="31" t="s">
        <v>297</v>
      </c>
      <c r="HI5" s="34"/>
      <c r="HJ5" s="31"/>
      <c r="HK5" s="34"/>
      <c r="HL5" s="31"/>
      <c r="HM5" s="34"/>
      <c r="HN5" s="31"/>
      <c r="HO5" s="34" t="s">
        <v>523</v>
      </c>
      <c r="HP5" s="31" t="s">
        <v>56</v>
      </c>
      <c r="HQ5" s="34" t="s">
        <v>1303</v>
      </c>
      <c r="HR5" s="31"/>
      <c r="HS5" s="34" t="s">
        <v>195</v>
      </c>
      <c r="HT5" s="31"/>
      <c r="HU5" s="34" t="s">
        <v>183</v>
      </c>
      <c r="HV5" s="31"/>
      <c r="HW5" s="34"/>
      <c r="HX5" s="39" t="s">
        <v>163</v>
      </c>
      <c r="HY5" s="39" t="s">
        <v>877</v>
      </c>
      <c r="HZ5" s="31" t="s">
        <v>49</v>
      </c>
      <c r="IA5" s="34"/>
      <c r="IB5" s="31"/>
      <c r="IC5" s="34" t="s">
        <v>856</v>
      </c>
      <c r="ID5" s="31"/>
      <c r="IE5" s="34"/>
      <c r="IF5" s="31"/>
      <c r="IG5" s="34"/>
      <c r="IH5" s="31"/>
      <c r="II5" s="34"/>
      <c r="IJ5" s="31"/>
      <c r="IK5" s="34"/>
      <c r="IL5" s="31"/>
      <c r="IM5" s="34" t="s">
        <v>175</v>
      </c>
      <c r="IN5" s="31"/>
      <c r="IO5" s="34"/>
      <c r="IP5" s="31" t="s">
        <v>45</v>
      </c>
      <c r="IQ5" s="34"/>
      <c r="IR5" s="31"/>
      <c r="IS5" s="34"/>
      <c r="IT5" s="31"/>
      <c r="IU5" s="34"/>
      <c r="IV5" s="31" t="s">
        <v>315</v>
      </c>
      <c r="IW5" s="34"/>
      <c r="IX5" s="31"/>
      <c r="IY5" s="34"/>
      <c r="IZ5" s="31"/>
      <c r="JA5" s="34" t="s">
        <v>871</v>
      </c>
      <c r="JB5" s="36"/>
    </row>
    <row r="6" spans="1:262" ht="30" customHeight="1" x14ac:dyDescent="0.25">
      <c r="A6" s="26" t="s">
        <v>1240</v>
      </c>
      <c r="B6" s="48" t="str">
        <f t="shared" si="0"/>
        <v>1st Choice Development
ACR Solar
Alpha Energy Management, Inc.
Apollo Home Performance
Aztec Solar Inc.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Future Energy Corporation
Gold Rush Energy Solutions
GRID Alternatives
GS Homes
Horizon Solar Power
I Love My Solar
Ilum Solar
Infinity Energy Inc
Kota Construction
Kuubix Energy, Inc.
LA Solar Group
Laibach Solar
LLUMETEC
Mack Electric/Gardner Energy
North State Solar Energy Construction
NRG Clean Power
Pacific Rim ConstructioRAM SOLAR
Promise Energy Inc
REC Solar
Sage Energy Consulting
Sierra Pacific
SIG Solar
Solar Gain West LLC
Solar Pros Inc.
Solar Savings Direct
Spreck Energy
Stem, Inc.
Stronghold Engineering
Sunnova Energy
SunPower by Hooked On Solar
SunPower by Quality Home Services
SunPower Corporation
Sunterra Solar Inc
Sunworks
Swell Energy
Symmetric Energy / Solar Winds Energy
Synergy Power
V3 Electric Inc
Vivint Solar
West Coast Solar
Westhaven Inc.</v>
      </c>
      <c r="C6" s="29" t="s">
        <v>857</v>
      </c>
      <c r="D6" s="31"/>
      <c r="E6" s="34"/>
      <c r="F6" s="31"/>
      <c r="G6" s="34" t="s">
        <v>866</v>
      </c>
      <c r="H6" s="31"/>
      <c r="I6" s="34"/>
      <c r="J6" s="31"/>
      <c r="K6" s="34"/>
      <c r="L6" s="31"/>
      <c r="M6" s="34"/>
      <c r="N6" s="30" t="s">
        <v>1295</v>
      </c>
      <c r="O6" s="34"/>
      <c r="P6" s="31"/>
      <c r="Q6" s="34"/>
      <c r="R6" s="31"/>
      <c r="S6" s="34"/>
      <c r="T6" s="31"/>
      <c r="U6" s="34" t="s">
        <v>915</v>
      </c>
      <c r="V6" s="31"/>
      <c r="W6" s="34"/>
      <c r="X6" s="31" t="s">
        <v>401</v>
      </c>
      <c r="Y6" s="34"/>
      <c r="Z6" s="31"/>
      <c r="AA6" s="34"/>
      <c r="AB6" s="31"/>
      <c r="AC6" s="34"/>
      <c r="AD6" s="31"/>
      <c r="AE6" s="34"/>
      <c r="AF6" s="31"/>
      <c r="AG6" s="34"/>
      <c r="AH6" s="31"/>
      <c r="AI6" s="34" t="s">
        <v>202</v>
      </c>
      <c r="AJ6" s="31"/>
      <c r="AK6" s="34"/>
      <c r="AL6" s="31" t="s">
        <v>217</v>
      </c>
      <c r="AM6" s="34"/>
      <c r="AN6" s="31"/>
      <c r="AO6" s="34" t="s">
        <v>497</v>
      </c>
      <c r="AP6" s="31" t="s">
        <v>1231</v>
      </c>
      <c r="AQ6" s="34"/>
      <c r="AR6" s="31"/>
      <c r="AS6" s="34" t="s">
        <v>60</v>
      </c>
      <c r="AT6" s="31" t="s">
        <v>205</v>
      </c>
      <c r="AU6" s="34"/>
      <c r="AV6" s="31" t="s">
        <v>199</v>
      </c>
      <c r="AW6" s="34"/>
      <c r="AX6" s="31"/>
      <c r="AY6" s="34"/>
      <c r="AZ6" s="31"/>
      <c r="BA6" s="34" t="s">
        <v>351</v>
      </c>
      <c r="BB6" s="31"/>
      <c r="BC6" s="34"/>
      <c r="BD6" s="31"/>
      <c r="BE6" s="34" t="s">
        <v>1215</v>
      </c>
      <c r="BF6" s="31"/>
      <c r="BG6" s="34"/>
      <c r="BH6" s="31"/>
      <c r="BI6" s="34"/>
      <c r="BJ6" s="31" t="s">
        <v>321</v>
      </c>
      <c r="BK6" s="34"/>
      <c r="BL6" s="31"/>
      <c r="BM6" s="34"/>
      <c r="BN6" s="31"/>
      <c r="BO6" s="34"/>
      <c r="BP6" s="31"/>
      <c r="BQ6" s="34" t="s">
        <v>391</v>
      </c>
      <c r="BR6" s="31"/>
      <c r="BS6" s="34"/>
      <c r="BT6" s="31"/>
      <c r="BU6" s="34"/>
      <c r="BV6" s="31" t="s">
        <v>330</v>
      </c>
      <c r="BW6" s="34" t="s">
        <v>532</v>
      </c>
      <c r="BX6" s="31" t="s">
        <v>280</v>
      </c>
      <c r="BY6" s="34"/>
      <c r="BZ6" s="31"/>
      <c r="CA6" s="34" t="s">
        <v>853</v>
      </c>
      <c r="CB6" s="31"/>
      <c r="CC6" s="34"/>
      <c r="CD6" s="31"/>
      <c r="CE6" s="34" t="s">
        <v>275</v>
      </c>
      <c r="CF6" s="31" t="s">
        <v>253</v>
      </c>
      <c r="CG6" s="34"/>
      <c r="CH6" s="31"/>
      <c r="CI6" s="34"/>
      <c r="CJ6" s="31" t="s">
        <v>323</v>
      </c>
      <c r="CK6" s="34"/>
      <c r="CL6" s="31"/>
      <c r="CM6" s="34"/>
      <c r="CN6" s="31" t="s">
        <v>487</v>
      </c>
      <c r="CO6" s="34"/>
      <c r="CP6" s="31"/>
      <c r="CQ6" s="34"/>
      <c r="CR6" s="31"/>
      <c r="CS6" s="34"/>
      <c r="CT6" s="31"/>
      <c r="CU6" s="34" t="s">
        <v>99</v>
      </c>
      <c r="CV6" s="31" t="s">
        <v>852</v>
      </c>
      <c r="CW6" s="34"/>
      <c r="CX6" s="31"/>
      <c r="CY6" s="34"/>
      <c r="CZ6" s="31"/>
      <c r="DA6" s="34"/>
      <c r="DB6" s="31"/>
      <c r="DC6" s="34"/>
      <c r="DD6" s="31"/>
      <c r="DE6" s="34" t="s">
        <v>134</v>
      </c>
      <c r="DF6" s="31"/>
      <c r="DG6" s="34"/>
      <c r="DH6" s="31"/>
      <c r="DI6" s="34" t="s">
        <v>858</v>
      </c>
      <c r="DJ6" s="31" t="s">
        <v>272</v>
      </c>
      <c r="DK6" s="34"/>
      <c r="DL6" s="31" t="s">
        <v>428</v>
      </c>
      <c r="DM6" s="34"/>
      <c r="DN6" s="31"/>
      <c r="DO6" s="34"/>
      <c r="DP6" s="31"/>
      <c r="DQ6" s="34"/>
      <c r="DR6" s="31"/>
      <c r="DS6" s="34"/>
      <c r="DT6" s="31"/>
      <c r="DU6" s="34" t="s">
        <v>267</v>
      </c>
      <c r="DV6" s="31" t="s">
        <v>109</v>
      </c>
      <c r="DW6" s="34" t="s">
        <v>895</v>
      </c>
      <c r="DX6" s="31" t="s">
        <v>932</v>
      </c>
      <c r="DY6" s="34"/>
      <c r="DZ6" s="31"/>
      <c r="EA6" s="34" t="s">
        <v>595</v>
      </c>
      <c r="EB6" s="31"/>
      <c r="EC6" s="34"/>
      <c r="ED6" s="31"/>
      <c r="EE6" s="34" t="s">
        <v>83</v>
      </c>
      <c r="EF6" s="31"/>
      <c r="EG6" s="34"/>
      <c r="EH6" s="31"/>
      <c r="EI6" s="34"/>
      <c r="EJ6" s="31"/>
      <c r="EK6" s="34"/>
      <c r="EL6" s="31"/>
      <c r="EM6" s="34"/>
      <c r="EN6" s="31"/>
      <c r="EO6" s="34"/>
      <c r="EP6" s="31"/>
      <c r="EQ6" s="34" t="s">
        <v>363</v>
      </c>
      <c r="ER6" s="31"/>
      <c r="ES6" s="34" t="s">
        <v>935</v>
      </c>
      <c r="ET6" s="31"/>
      <c r="EU6" s="34"/>
      <c r="EV6" s="31"/>
      <c r="EW6" s="34" t="s">
        <v>983</v>
      </c>
      <c r="EX6" s="31"/>
      <c r="EY6" s="34"/>
      <c r="EZ6" s="31"/>
      <c r="FA6" s="34"/>
      <c r="FB6" s="31"/>
      <c r="FC6" s="34"/>
      <c r="FD6" s="31" t="s">
        <v>484</v>
      </c>
      <c r="FE6" s="34"/>
      <c r="FF6" s="31"/>
      <c r="FG6" s="34"/>
      <c r="FH6" s="31"/>
      <c r="FI6" s="34" t="s">
        <v>354</v>
      </c>
      <c r="FJ6" s="31"/>
      <c r="FK6" s="34"/>
      <c r="FL6" s="31"/>
      <c r="FM6" s="34"/>
      <c r="FN6" s="31" t="s">
        <v>465</v>
      </c>
      <c r="FO6" s="34"/>
      <c r="FP6" s="31"/>
      <c r="FQ6" s="34"/>
      <c r="FR6" s="31"/>
      <c r="FS6" s="39"/>
      <c r="FT6" s="39"/>
      <c r="FU6" s="34"/>
      <c r="FV6" s="31"/>
      <c r="FW6" s="34" t="s">
        <v>886</v>
      </c>
      <c r="FX6" s="31" t="s">
        <v>934</v>
      </c>
      <c r="FY6" s="34"/>
      <c r="FZ6" s="31"/>
      <c r="GA6" s="34"/>
      <c r="GB6" s="31"/>
      <c r="GC6" s="34"/>
      <c r="GD6" s="31"/>
      <c r="GE6" s="34"/>
      <c r="GF6" s="31"/>
      <c r="GG6" s="34"/>
      <c r="GH6" s="31"/>
      <c r="GI6" s="34" t="s">
        <v>454</v>
      </c>
      <c r="GJ6" s="31"/>
      <c r="GK6" s="34"/>
      <c r="GL6" s="31"/>
      <c r="GM6" s="34" t="s">
        <v>501</v>
      </c>
      <c r="GN6" s="31"/>
      <c r="GO6" s="34" t="s">
        <v>96</v>
      </c>
      <c r="GP6" s="31"/>
      <c r="GQ6" s="34"/>
      <c r="GR6" s="31"/>
      <c r="GS6" s="34"/>
      <c r="GT6" s="31"/>
      <c r="GU6" s="34"/>
      <c r="GV6" s="31"/>
      <c r="GW6" s="34"/>
      <c r="GX6" s="31"/>
      <c r="GY6" s="34"/>
      <c r="GZ6" s="31" t="s">
        <v>894</v>
      </c>
      <c r="HA6" s="34"/>
      <c r="HB6" s="31"/>
      <c r="HC6" s="34"/>
      <c r="HD6" s="30" t="s">
        <v>102</v>
      </c>
      <c r="HE6" s="34" t="s">
        <v>901</v>
      </c>
      <c r="HF6" s="31"/>
      <c r="HG6" s="34"/>
      <c r="HH6" s="31"/>
      <c r="HI6" s="34"/>
      <c r="HJ6" s="31"/>
      <c r="HK6" s="34"/>
      <c r="HL6" s="31"/>
      <c r="HM6" s="34"/>
      <c r="HN6" s="31"/>
      <c r="HO6" s="34" t="s">
        <v>523</v>
      </c>
      <c r="HP6" s="31"/>
      <c r="HQ6" s="34" t="s">
        <v>1303</v>
      </c>
      <c r="HR6" s="31" t="s">
        <v>1302</v>
      </c>
      <c r="HS6" s="34" t="s">
        <v>195</v>
      </c>
      <c r="HT6" s="31"/>
      <c r="HU6" s="34"/>
      <c r="HV6" s="31"/>
      <c r="HW6" s="34"/>
      <c r="HX6" s="39" t="s">
        <v>163</v>
      </c>
      <c r="HY6" s="39" t="s">
        <v>877</v>
      </c>
      <c r="HZ6" s="31"/>
      <c r="IA6" s="34"/>
      <c r="IB6" s="31"/>
      <c r="IC6" s="34" t="s">
        <v>856</v>
      </c>
      <c r="ID6" s="31" t="s">
        <v>118</v>
      </c>
      <c r="IE6" s="34"/>
      <c r="IF6" s="31" t="s">
        <v>513</v>
      </c>
      <c r="IG6" s="34"/>
      <c r="IH6" s="31"/>
      <c r="II6" s="34"/>
      <c r="IJ6" s="31"/>
      <c r="IK6" s="34"/>
      <c r="IL6" s="31"/>
      <c r="IM6" s="34" t="s">
        <v>175</v>
      </c>
      <c r="IN6" s="31"/>
      <c r="IO6" s="34"/>
      <c r="IP6" s="31" t="s">
        <v>45</v>
      </c>
      <c r="IQ6" s="34"/>
      <c r="IR6" s="31"/>
      <c r="IS6" s="34"/>
      <c r="IT6" s="31" t="s">
        <v>855</v>
      </c>
      <c r="IU6" s="34"/>
      <c r="IV6" s="31" t="s">
        <v>315</v>
      </c>
      <c r="IW6" s="34"/>
      <c r="IX6" s="31"/>
      <c r="IY6" s="34"/>
      <c r="IZ6" s="31"/>
      <c r="JA6" s="34"/>
      <c r="JB6" s="36"/>
    </row>
    <row r="7" spans="1:262" ht="30" customHeight="1" x14ac:dyDescent="0.25">
      <c r="A7" s="27" t="s">
        <v>1244</v>
      </c>
      <c r="B7" s="48" t="str">
        <f t="shared" si="0"/>
        <v>1st Choice Development
ACR Solar
Alpha Energy Management, Inc.
Apollo Home Performance
Aztec Solar Inc.
Bright Power
California Solar Electric Cooperative
California Solar Integrators, Inc.
California State Development
Centrica Business Solutions
Chico Electric
Citadel Roofing &amp; Solar
Climatec
CMCO Electric &amp; Solar
Communication Infrastructure Corporation (CIC)
DC Solar Electric, Inc
EDF Renewables Distributed Solutions
Enable Energy, Inc.
Enel X North America
Energy Independence Group
Engie Services US
ForeFront Power
Gold Rush Energy Solutions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Royal Aire Inc
Sage Energy Consulting
Solar Gain West LLC
Solar Pros Inc.
Solar Savings Direct
Spreck Energy
Stem, Inc.
Stronghold Engineering
Sunnova Energy
SunPower by Hooked On Solar
SunPower Corporation
SunStor
Sunterra Solar Inc
Sunworks
Swell Energy
V3 Electric Inc
Vivint Solar
Westhaven Inc.</v>
      </c>
      <c r="C7" s="29" t="s">
        <v>857</v>
      </c>
      <c r="D7" s="31"/>
      <c r="E7" s="34"/>
      <c r="F7" s="31"/>
      <c r="G7" s="34" t="s">
        <v>866</v>
      </c>
      <c r="H7" s="31"/>
      <c r="I7" s="34"/>
      <c r="J7" s="31"/>
      <c r="K7" s="34"/>
      <c r="L7" s="31"/>
      <c r="M7" s="34"/>
      <c r="N7" s="30" t="s">
        <v>1295</v>
      </c>
      <c r="O7" s="34"/>
      <c r="P7" s="31"/>
      <c r="Q7" s="34"/>
      <c r="R7" s="31"/>
      <c r="S7" s="34"/>
      <c r="T7" s="31"/>
      <c r="U7" s="34" t="s">
        <v>915</v>
      </c>
      <c r="V7" s="31"/>
      <c r="W7" s="34"/>
      <c r="X7" s="31" t="s">
        <v>401</v>
      </c>
      <c r="Y7" s="34"/>
      <c r="Z7" s="31"/>
      <c r="AA7" s="34"/>
      <c r="AB7" s="31"/>
      <c r="AC7" s="34"/>
      <c r="AD7" s="31"/>
      <c r="AE7" s="34"/>
      <c r="AF7" s="31"/>
      <c r="AG7" s="34"/>
      <c r="AH7" s="31"/>
      <c r="AI7" s="34" t="s">
        <v>202</v>
      </c>
      <c r="AJ7" s="31"/>
      <c r="AK7" s="34"/>
      <c r="AL7" s="31"/>
      <c r="AM7" s="34"/>
      <c r="AN7" s="31" t="s">
        <v>505</v>
      </c>
      <c r="AO7" s="34" t="s">
        <v>497</v>
      </c>
      <c r="AP7" s="31" t="s">
        <v>1231</v>
      </c>
      <c r="AQ7" s="34"/>
      <c r="AR7" s="31"/>
      <c r="AS7" s="34" t="s">
        <v>60</v>
      </c>
      <c r="AT7" s="31" t="s">
        <v>205</v>
      </c>
      <c r="AU7" s="34"/>
      <c r="AV7" s="31" t="s">
        <v>199</v>
      </c>
      <c r="AW7" s="34"/>
      <c r="AX7" s="31"/>
      <c r="AY7" s="34"/>
      <c r="AZ7" s="31"/>
      <c r="BA7" s="34" t="s">
        <v>351</v>
      </c>
      <c r="BB7" s="31"/>
      <c r="BC7" s="34" t="s">
        <v>142</v>
      </c>
      <c r="BD7" s="31"/>
      <c r="BE7" s="34" t="s">
        <v>1215</v>
      </c>
      <c r="BF7" s="31"/>
      <c r="BG7" s="34"/>
      <c r="BH7" s="31"/>
      <c r="BI7" s="34"/>
      <c r="BJ7" s="31" t="s">
        <v>321</v>
      </c>
      <c r="BK7" s="34"/>
      <c r="BL7" s="31"/>
      <c r="BM7" s="34"/>
      <c r="BN7" s="31"/>
      <c r="BO7" s="34"/>
      <c r="BP7" s="31"/>
      <c r="BQ7" s="34" t="s">
        <v>391</v>
      </c>
      <c r="BR7" s="31"/>
      <c r="BS7" s="34"/>
      <c r="BT7" s="31"/>
      <c r="BU7" s="34"/>
      <c r="BV7" s="31" t="s">
        <v>330</v>
      </c>
      <c r="BW7" s="34" t="s">
        <v>532</v>
      </c>
      <c r="BX7" s="31" t="s">
        <v>280</v>
      </c>
      <c r="BY7" s="34"/>
      <c r="BZ7" s="31"/>
      <c r="CA7" s="34" t="s">
        <v>853</v>
      </c>
      <c r="CB7" s="31"/>
      <c r="CC7" s="34"/>
      <c r="CD7" s="31"/>
      <c r="CE7" s="34" t="s">
        <v>275</v>
      </c>
      <c r="CF7" s="31"/>
      <c r="CG7" s="34"/>
      <c r="CH7" s="31"/>
      <c r="CI7" s="34"/>
      <c r="CJ7" s="31"/>
      <c r="CK7" s="34"/>
      <c r="CL7" s="31"/>
      <c r="CM7" s="34"/>
      <c r="CN7" s="31" t="s">
        <v>487</v>
      </c>
      <c r="CO7" s="34"/>
      <c r="CP7" s="31"/>
      <c r="CQ7" s="34"/>
      <c r="CR7" s="31"/>
      <c r="CS7" s="34"/>
      <c r="CT7" s="31"/>
      <c r="CU7" s="34" t="s">
        <v>99</v>
      </c>
      <c r="CV7" s="31" t="s">
        <v>852</v>
      </c>
      <c r="CW7" s="34" t="s">
        <v>167</v>
      </c>
      <c r="CX7" s="31"/>
      <c r="CY7" s="34"/>
      <c r="CZ7" s="31"/>
      <c r="DA7" s="34"/>
      <c r="DB7" s="31"/>
      <c r="DC7" s="34"/>
      <c r="DD7" s="31"/>
      <c r="DE7" s="34"/>
      <c r="DF7" s="31"/>
      <c r="DG7" s="34"/>
      <c r="DH7" s="31"/>
      <c r="DI7" s="34"/>
      <c r="DJ7" s="31" t="s">
        <v>272</v>
      </c>
      <c r="DK7" s="34"/>
      <c r="DL7" s="31" t="s">
        <v>428</v>
      </c>
      <c r="DM7" s="34"/>
      <c r="DN7" s="31"/>
      <c r="DO7" s="34"/>
      <c r="DP7" s="31"/>
      <c r="DQ7" s="34"/>
      <c r="DR7" s="31"/>
      <c r="DS7" s="34"/>
      <c r="DT7" s="31"/>
      <c r="DU7" s="34"/>
      <c r="DV7" s="31" t="s">
        <v>109</v>
      </c>
      <c r="DW7" s="34" t="s">
        <v>895</v>
      </c>
      <c r="DX7" s="31" t="s">
        <v>932</v>
      </c>
      <c r="DY7" s="34"/>
      <c r="DZ7" s="31"/>
      <c r="EA7" s="34" t="s">
        <v>595</v>
      </c>
      <c r="EB7" s="31"/>
      <c r="EC7" s="34"/>
      <c r="ED7" s="31"/>
      <c r="EE7" s="34" t="s">
        <v>83</v>
      </c>
      <c r="EF7" s="31"/>
      <c r="EG7" s="34"/>
      <c r="EH7" s="31"/>
      <c r="EI7" s="34"/>
      <c r="EJ7" s="31"/>
      <c r="EK7" s="34"/>
      <c r="EL7" s="31"/>
      <c r="EM7" s="34"/>
      <c r="EN7" s="31"/>
      <c r="EO7" s="34"/>
      <c r="EP7" s="31"/>
      <c r="EQ7" s="34" t="s">
        <v>363</v>
      </c>
      <c r="ER7" s="31"/>
      <c r="ES7" s="34" t="s">
        <v>935</v>
      </c>
      <c r="ET7" s="31"/>
      <c r="EU7" s="34"/>
      <c r="EV7" s="31"/>
      <c r="EW7" s="34" t="s">
        <v>983</v>
      </c>
      <c r="EX7" s="31"/>
      <c r="EY7" s="34"/>
      <c r="EZ7" s="31"/>
      <c r="FA7" s="34"/>
      <c r="FB7" s="31"/>
      <c r="FC7" s="34"/>
      <c r="FD7" s="31" t="s">
        <v>484</v>
      </c>
      <c r="FE7" s="34"/>
      <c r="FF7" s="31"/>
      <c r="FG7" s="34"/>
      <c r="FH7" s="31"/>
      <c r="FI7" s="34" t="s">
        <v>354</v>
      </c>
      <c r="FJ7" s="31"/>
      <c r="FK7" s="34"/>
      <c r="FL7" s="31"/>
      <c r="FM7" s="34" t="s">
        <v>312</v>
      </c>
      <c r="FN7" s="31" t="s">
        <v>465</v>
      </c>
      <c r="FO7" s="34"/>
      <c r="FP7" s="31"/>
      <c r="FQ7" s="34"/>
      <c r="FR7" s="31"/>
      <c r="FS7" s="39"/>
      <c r="FT7" s="39"/>
      <c r="FU7" s="34"/>
      <c r="FV7" s="31"/>
      <c r="FW7" s="34"/>
      <c r="FX7" s="31"/>
      <c r="FY7" s="34"/>
      <c r="FZ7" s="31"/>
      <c r="GA7" s="34"/>
      <c r="GB7" s="31"/>
      <c r="GC7" s="34"/>
      <c r="GD7" s="31"/>
      <c r="GE7" s="34"/>
      <c r="GF7" s="31"/>
      <c r="GG7" s="34"/>
      <c r="GH7" s="31"/>
      <c r="GI7" s="34" t="s">
        <v>454</v>
      </c>
      <c r="GJ7" s="31"/>
      <c r="GK7" s="34"/>
      <c r="GL7" s="31"/>
      <c r="GM7" s="34" t="s">
        <v>501</v>
      </c>
      <c r="GN7" s="31"/>
      <c r="GO7" s="34" t="s">
        <v>96</v>
      </c>
      <c r="GP7" s="31"/>
      <c r="GQ7" s="34"/>
      <c r="GR7" s="31"/>
      <c r="GS7" s="34"/>
      <c r="GT7" s="31"/>
      <c r="GU7" s="34"/>
      <c r="GV7" s="31"/>
      <c r="GW7" s="34"/>
      <c r="GX7" s="31"/>
      <c r="GY7" s="34"/>
      <c r="GZ7" s="31" t="s">
        <v>894</v>
      </c>
      <c r="HA7" s="34"/>
      <c r="HB7" s="31"/>
      <c r="HC7" s="34"/>
      <c r="HD7" s="30" t="s">
        <v>102</v>
      </c>
      <c r="HE7" s="34" t="s">
        <v>901</v>
      </c>
      <c r="HF7" s="31"/>
      <c r="HG7" s="34"/>
      <c r="HH7" s="31"/>
      <c r="HI7" s="34"/>
      <c r="HJ7" s="31"/>
      <c r="HK7" s="34"/>
      <c r="HL7" s="31"/>
      <c r="HM7" s="34"/>
      <c r="HN7" s="31"/>
      <c r="HO7" s="34" t="s">
        <v>523</v>
      </c>
      <c r="HP7" s="31"/>
      <c r="HQ7" s="34" t="s">
        <v>1303</v>
      </c>
      <c r="HR7" s="31"/>
      <c r="HS7" s="34" t="s">
        <v>195</v>
      </c>
      <c r="HT7" s="31"/>
      <c r="HU7" s="34" t="s">
        <v>183</v>
      </c>
      <c r="HV7" s="31"/>
      <c r="HW7" s="34"/>
      <c r="HX7" s="39" t="s">
        <v>163</v>
      </c>
      <c r="HY7" s="39" t="s">
        <v>877</v>
      </c>
      <c r="HZ7" s="31"/>
      <c r="IA7" s="34"/>
      <c r="IB7" s="31"/>
      <c r="IC7" s="34" t="s">
        <v>856</v>
      </c>
      <c r="ID7" s="31"/>
      <c r="IE7" s="34"/>
      <c r="IF7" s="31"/>
      <c r="IG7" s="34"/>
      <c r="IH7" s="31"/>
      <c r="II7" s="34"/>
      <c r="IJ7" s="31"/>
      <c r="IK7" s="34"/>
      <c r="IL7" s="31"/>
      <c r="IM7" s="34" t="s">
        <v>175</v>
      </c>
      <c r="IN7" s="31"/>
      <c r="IO7" s="34"/>
      <c r="IP7" s="31" t="s">
        <v>45</v>
      </c>
      <c r="IQ7" s="34"/>
      <c r="IR7" s="31"/>
      <c r="IS7" s="34"/>
      <c r="IT7" s="31"/>
      <c r="IU7" s="34"/>
      <c r="IV7" s="31" t="s">
        <v>315</v>
      </c>
      <c r="IW7" s="34"/>
      <c r="IX7" s="31"/>
      <c r="IY7" s="34"/>
      <c r="IZ7" s="31"/>
      <c r="JA7" s="34"/>
      <c r="JB7" s="36"/>
    </row>
    <row r="8" spans="1:262" ht="30" customHeight="1" x14ac:dyDescent="0.25">
      <c r="A8" s="26" t="s">
        <v>1245</v>
      </c>
      <c r="B8" s="48" t="str">
        <f t="shared" si="0"/>
        <v>1st Choice Development
A1 Sun Inc.
Advanced Alternative Energy Solutions
Albion Power Company
Alpha Energy Management, Inc.
Ambrose Construction Inc
Apollo Home Performance
Aztec Solar Inc.
Bright Future Solar Energy
Bright Power
California Solar Integrators, Inc.
California State Development
Centrica Business Solutions
Citadel Roofing &amp; Solar
Clean Factor Energy
Clean Solar
Climatec
Cobalt Power Systems, Inc.
Cool Earth Solar
Corona Solar
DC Solar Electric, Inc
DEL SOL NRG, INC.
Earthwise Energy Solutions
EDF Renewables Distributed Solutions
Elliott Enterprises, Inc dba Sierra Roofing and Solar
Enable Energy, Inc.
Enel X North America
Energy Independence Group
Engie Services US
ForeFront Power
Fresco Solar
Future Energy Corporation
Go Microgrid
Gold Rush Energy Solutions
Got Watts Electric &amp; Solar
Green Water and Power
Green Wolf Energy
GRID Alternatives
GS Homes
Home Networks, Electric &amp; Solar, Inc.
Horizon Solar Power
Hot Watts Technology
Huffman Solar
Ilum Solar
Infinity Energy Inc
Infinium Solar, Inc.
Innovative Energy Systems (IES)
J&amp;J Electric DBA Vital Energy Solutions, LLC
Kota Construction
Kuubix Energy, Inc.
LA Solar Group
Laibach Solar
LLUMETEC
Mack Electric/Gardner Energy
Michael &amp; Sun Solar Inc
NRG Clean Power
Occidel Power Solar and Cogen
Pac Solar Corporation
Pacific Rim ConstructioRAM SOLAR
PacificWest Energy Solutions, Inc.
Promise Energy Inc
REC Solar
Sage Energy Consulting
Sarter Construction &amp; Design, Inc / Off the Grid Design / Sol Lux Alpha
Save a Lot Solar
Semper Solaris
Sky Power Solar
Skytech Solar
Slingshot Power
Solar Gain West LLC
Solar Optimum Inc
Solar Pros Inc.
Solar Savings Direct
SolarWinds Energy
SonoMarin Solar &amp; Electric
Spreck Energy
Starseed Electric
Stem, Inc.
Stronghold Engineering
Sun Light &amp; Power
Sun Power by Ambrose
Sun River Solar
Sunce Energy Solutions, Inc.
Sunnova Energy
SunPower by Hooked On Solar
SunPower Corporation
SunStor
Sunterra Solar Inc
Sunworks
Sustainable Technologies
Swell Energy
Symmetric Energy / Solar Winds Energy
Synergy Power
Urban Energy Inc
V3 Electric Inc
Vivint Solar
West Coast Solar
Westhaven Inc.
Wired Into The Future, Inc.
Your Energy Solutions
Your Energy Source (YES)</v>
      </c>
      <c r="C8" s="29" t="s">
        <v>857</v>
      </c>
      <c r="D8" s="31"/>
      <c r="E8" s="34"/>
      <c r="F8" s="31" t="s">
        <v>214</v>
      </c>
      <c r="G8" s="34"/>
      <c r="H8" s="31" t="s">
        <v>71</v>
      </c>
      <c r="I8" s="34"/>
      <c r="J8" s="31"/>
      <c r="K8" s="34" t="s">
        <v>458</v>
      </c>
      <c r="L8" s="31"/>
      <c r="M8" s="34"/>
      <c r="N8" s="30" t="s">
        <v>1295</v>
      </c>
      <c r="O8" s="34"/>
      <c r="P8" s="31"/>
      <c r="Q8" s="34"/>
      <c r="R8" s="31"/>
      <c r="S8" s="34" t="s">
        <v>87</v>
      </c>
      <c r="T8" s="31"/>
      <c r="U8" s="34" t="s">
        <v>915</v>
      </c>
      <c r="V8" s="31"/>
      <c r="W8" s="34"/>
      <c r="X8" s="31" t="s">
        <v>401</v>
      </c>
      <c r="Y8" s="34"/>
      <c r="Z8" s="31"/>
      <c r="AA8" s="34"/>
      <c r="AB8" s="31"/>
      <c r="AC8" s="34"/>
      <c r="AD8" s="31"/>
      <c r="AE8" s="34"/>
      <c r="AF8" s="31"/>
      <c r="AG8" s="34" t="s">
        <v>928</v>
      </c>
      <c r="AH8" s="31"/>
      <c r="AI8" s="34" t="s">
        <v>202</v>
      </c>
      <c r="AJ8" s="31"/>
      <c r="AK8" s="34"/>
      <c r="AL8" s="31"/>
      <c r="AM8" s="34"/>
      <c r="AN8" s="31"/>
      <c r="AO8" s="34" t="s">
        <v>497</v>
      </c>
      <c r="AP8" s="31" t="s">
        <v>1231</v>
      </c>
      <c r="AQ8" s="34"/>
      <c r="AR8" s="31"/>
      <c r="AS8" s="34" t="s">
        <v>60</v>
      </c>
      <c r="AT8" s="31"/>
      <c r="AU8" s="34"/>
      <c r="AV8" s="31" t="s">
        <v>199</v>
      </c>
      <c r="AW8" s="34" t="s">
        <v>865</v>
      </c>
      <c r="AX8" s="31" t="s">
        <v>451</v>
      </c>
      <c r="AY8" s="34"/>
      <c r="AZ8" s="31"/>
      <c r="BA8" s="34" t="s">
        <v>351</v>
      </c>
      <c r="BB8" s="31"/>
      <c r="BC8" s="34"/>
      <c r="BD8" s="31" t="s">
        <v>304</v>
      </c>
      <c r="BE8" s="34"/>
      <c r="BF8" s="31" t="s">
        <v>529</v>
      </c>
      <c r="BG8" s="34" t="s">
        <v>911</v>
      </c>
      <c r="BH8" s="31"/>
      <c r="BI8" s="34"/>
      <c r="BJ8" s="31" t="s">
        <v>321</v>
      </c>
      <c r="BK8" s="34" t="s">
        <v>148</v>
      </c>
      <c r="BL8" s="31"/>
      <c r="BM8" s="34"/>
      <c r="BN8" s="31" t="s">
        <v>258</v>
      </c>
      <c r="BO8" s="34"/>
      <c r="BP8" s="31"/>
      <c r="BQ8" s="34" t="s">
        <v>391</v>
      </c>
      <c r="BR8" s="31"/>
      <c r="BS8" s="34"/>
      <c r="BT8" s="31"/>
      <c r="BU8" s="34" t="s">
        <v>153</v>
      </c>
      <c r="BV8" s="31" t="s">
        <v>330</v>
      </c>
      <c r="BW8" s="34" t="s">
        <v>532</v>
      </c>
      <c r="BX8" s="31" t="s">
        <v>280</v>
      </c>
      <c r="BY8" s="34"/>
      <c r="BZ8" s="31"/>
      <c r="CA8" s="34" t="s">
        <v>853</v>
      </c>
      <c r="CB8" s="31"/>
      <c r="CC8" s="34"/>
      <c r="CD8" s="31"/>
      <c r="CE8" s="34" t="s">
        <v>275</v>
      </c>
      <c r="CF8" s="31"/>
      <c r="CG8" s="34"/>
      <c r="CH8" s="31" t="s">
        <v>929</v>
      </c>
      <c r="CI8" s="34"/>
      <c r="CJ8" s="31" t="s">
        <v>323</v>
      </c>
      <c r="CK8" s="34"/>
      <c r="CL8" s="31"/>
      <c r="CM8" s="34" t="s">
        <v>519</v>
      </c>
      <c r="CN8" s="31" t="s">
        <v>487</v>
      </c>
      <c r="CO8" s="34"/>
      <c r="CP8" s="31"/>
      <c r="CQ8" s="34"/>
      <c r="CR8" s="31" t="s">
        <v>261</v>
      </c>
      <c r="CS8" s="34" t="s">
        <v>892</v>
      </c>
      <c r="CT8" s="31" t="s">
        <v>494</v>
      </c>
      <c r="CU8" s="34" t="s">
        <v>99</v>
      </c>
      <c r="CV8" s="31" t="s">
        <v>852</v>
      </c>
      <c r="CW8" s="34"/>
      <c r="CX8" s="31"/>
      <c r="CY8" s="34"/>
      <c r="CZ8" s="31"/>
      <c r="DA8" s="34"/>
      <c r="DB8" s="31"/>
      <c r="DC8" s="34"/>
      <c r="DD8" s="31" t="s">
        <v>916</v>
      </c>
      <c r="DE8" s="34" t="s">
        <v>134</v>
      </c>
      <c r="DF8" s="31"/>
      <c r="DG8" s="34" t="s">
        <v>37</v>
      </c>
      <c r="DH8" s="31" t="s">
        <v>220</v>
      </c>
      <c r="DI8" s="34"/>
      <c r="DJ8" s="31" t="s">
        <v>272</v>
      </c>
      <c r="DK8" s="34"/>
      <c r="DL8" s="31" t="s">
        <v>428</v>
      </c>
      <c r="DM8" s="34" t="s">
        <v>179</v>
      </c>
      <c r="DN8" s="31" t="s">
        <v>868</v>
      </c>
      <c r="DO8" s="34" t="s">
        <v>234</v>
      </c>
      <c r="DP8" s="31"/>
      <c r="DQ8" s="34"/>
      <c r="DR8" s="31"/>
      <c r="DS8" s="34"/>
      <c r="DT8" s="31"/>
      <c r="DU8" s="34" t="s">
        <v>267</v>
      </c>
      <c r="DV8" s="31" t="s">
        <v>109</v>
      </c>
      <c r="DW8" s="34" t="s">
        <v>895</v>
      </c>
      <c r="DX8" s="31" t="s">
        <v>932</v>
      </c>
      <c r="DY8" s="34"/>
      <c r="DZ8" s="31"/>
      <c r="EA8" s="34" t="s">
        <v>595</v>
      </c>
      <c r="EB8" s="31"/>
      <c r="EC8" s="34"/>
      <c r="ED8" s="31"/>
      <c r="EE8" s="34" t="s">
        <v>83</v>
      </c>
      <c r="EF8" s="31"/>
      <c r="EG8" s="34"/>
      <c r="EH8" s="31" t="s">
        <v>250</v>
      </c>
      <c r="EI8" s="34"/>
      <c r="EJ8" s="31"/>
      <c r="EK8" s="34"/>
      <c r="EL8" s="31"/>
      <c r="EM8" s="34"/>
      <c r="EN8" s="31"/>
      <c r="EO8" s="34"/>
      <c r="EP8" s="31"/>
      <c r="EQ8" s="34"/>
      <c r="ER8" s="31"/>
      <c r="ES8" s="34" t="s">
        <v>935</v>
      </c>
      <c r="ET8" s="31" t="s">
        <v>1036</v>
      </c>
      <c r="EU8" s="34"/>
      <c r="EV8" s="31" t="s">
        <v>286</v>
      </c>
      <c r="EW8" s="34" t="s">
        <v>983</v>
      </c>
      <c r="EX8" s="31"/>
      <c r="EY8" s="34" t="s">
        <v>559</v>
      </c>
      <c r="EZ8" s="31"/>
      <c r="FA8" s="34"/>
      <c r="FB8" s="31"/>
      <c r="FC8" s="34"/>
      <c r="FD8" s="31" t="s">
        <v>484</v>
      </c>
      <c r="FE8" s="34"/>
      <c r="FF8" s="31"/>
      <c r="FG8" s="34"/>
      <c r="FH8" s="31"/>
      <c r="FI8" s="34" t="s">
        <v>354</v>
      </c>
      <c r="FJ8" s="31"/>
      <c r="FK8" s="34"/>
      <c r="FL8" s="31"/>
      <c r="FM8" s="34"/>
      <c r="FN8" s="31" t="s">
        <v>465</v>
      </c>
      <c r="FO8" s="34"/>
      <c r="FP8" s="31"/>
      <c r="FQ8" s="34" t="s">
        <v>171</v>
      </c>
      <c r="FR8" s="31"/>
      <c r="FS8" s="38" t="s">
        <v>237</v>
      </c>
      <c r="FT8" s="39"/>
      <c r="FU8" s="34" t="s">
        <v>630</v>
      </c>
      <c r="FV8" s="31"/>
      <c r="FW8" s="34"/>
      <c r="FX8" s="31"/>
      <c r="FY8" s="34"/>
      <c r="FZ8" s="31"/>
      <c r="GA8" s="34"/>
      <c r="GB8" s="31"/>
      <c r="GC8" s="34" t="s">
        <v>491</v>
      </c>
      <c r="GD8" s="31" t="s">
        <v>64</v>
      </c>
      <c r="GE8" s="34" t="s">
        <v>91</v>
      </c>
      <c r="GF8" s="31"/>
      <c r="GG8" s="34"/>
      <c r="GH8" s="31"/>
      <c r="GI8" s="34" t="s">
        <v>454</v>
      </c>
      <c r="GJ8" s="31"/>
      <c r="GK8" s="34"/>
      <c r="GL8" s="31" t="s">
        <v>106</v>
      </c>
      <c r="GM8" s="34" t="s">
        <v>501</v>
      </c>
      <c r="GN8" s="31"/>
      <c r="GO8" s="34" t="s">
        <v>96</v>
      </c>
      <c r="GP8" s="31"/>
      <c r="GQ8" s="34"/>
      <c r="GR8" s="31"/>
      <c r="GS8" s="34"/>
      <c r="GT8" s="31"/>
      <c r="GU8" s="34"/>
      <c r="GV8" s="31"/>
      <c r="GW8" s="34" t="s">
        <v>227</v>
      </c>
      <c r="GX8" s="31"/>
      <c r="GY8" s="34" t="s">
        <v>556</v>
      </c>
      <c r="GZ8" s="31" t="s">
        <v>894</v>
      </c>
      <c r="HA8" s="34"/>
      <c r="HB8" s="31" t="s">
        <v>333</v>
      </c>
      <c r="HC8" s="34"/>
      <c r="HD8" s="30" t="s">
        <v>102</v>
      </c>
      <c r="HE8" s="34" t="s">
        <v>901</v>
      </c>
      <c r="HF8" s="31" t="s">
        <v>337</v>
      </c>
      <c r="HG8" s="34" t="s">
        <v>925</v>
      </c>
      <c r="HH8" s="31" t="s">
        <v>297</v>
      </c>
      <c r="HI8" s="34"/>
      <c r="HJ8" s="31" t="s">
        <v>1055</v>
      </c>
      <c r="HK8" s="34"/>
      <c r="HL8" s="31"/>
      <c r="HM8" s="34"/>
      <c r="HN8" s="31"/>
      <c r="HO8" s="34" t="s">
        <v>523</v>
      </c>
      <c r="HP8" s="31"/>
      <c r="HQ8" s="34" t="s">
        <v>1303</v>
      </c>
      <c r="HR8" s="31"/>
      <c r="HS8" s="34" t="s">
        <v>195</v>
      </c>
      <c r="HT8" s="31"/>
      <c r="HU8" s="34" t="s">
        <v>183</v>
      </c>
      <c r="HV8" s="31"/>
      <c r="HW8" s="34"/>
      <c r="HX8" s="39" t="s">
        <v>163</v>
      </c>
      <c r="HY8" s="39" t="s">
        <v>877</v>
      </c>
      <c r="HZ8" s="31"/>
      <c r="IA8" s="34" t="s">
        <v>544</v>
      </c>
      <c r="IB8" s="31"/>
      <c r="IC8" s="34" t="s">
        <v>856</v>
      </c>
      <c r="ID8" s="31" t="s">
        <v>118</v>
      </c>
      <c r="IE8" s="34"/>
      <c r="IF8" s="31" t="s">
        <v>513</v>
      </c>
      <c r="IG8" s="34"/>
      <c r="IH8" s="31"/>
      <c r="II8" s="34"/>
      <c r="IJ8" s="31"/>
      <c r="IK8" s="34"/>
      <c r="IL8" s="31" t="s">
        <v>80</v>
      </c>
      <c r="IM8" s="34" t="s">
        <v>175</v>
      </c>
      <c r="IN8" s="31"/>
      <c r="IO8" s="34"/>
      <c r="IP8" s="31" t="s">
        <v>45</v>
      </c>
      <c r="IQ8" s="34"/>
      <c r="IR8" s="31"/>
      <c r="IS8" s="34"/>
      <c r="IT8" s="31" t="s">
        <v>855</v>
      </c>
      <c r="IU8" s="34"/>
      <c r="IV8" s="31" t="s">
        <v>315</v>
      </c>
      <c r="IW8" s="34" t="s">
        <v>927</v>
      </c>
      <c r="IX8" s="31"/>
      <c r="IY8" s="34"/>
      <c r="IZ8" s="31" t="s">
        <v>944</v>
      </c>
      <c r="JA8" s="34" t="s">
        <v>871</v>
      </c>
      <c r="JB8" s="36"/>
    </row>
    <row r="9" spans="1:262" ht="30" customHeight="1" x14ac:dyDescent="0.25">
      <c r="A9" s="26" t="s">
        <v>1291</v>
      </c>
      <c r="B9" s="48" t="str">
        <f t="shared" si="0"/>
        <v>1st Choice Development
Alpha Energy Management, Inc.
Bright Power
California Solar Integrators, Inc.
California State Development
Centrica Business Solutions
Climatec
DC Solar Electric, Inc
EDF Renewables Distributed Solutions
Enel X North America
Energy Independence Group
Engie Services US
Gold Rush Energy Solutions
GRID Alternatives
GS Homes
Ilum Solar
Infinity Energy Inc
Kuubix Energy, Inc.
LA Solar Group
LLUMETEC
Mack Electric/Gardner Energy
NRG Clean Power
Promise Energy Inc
REC Solar
Sage Energy Consulting
Solar Gain West LLC
Solar Pros Inc.
Stem, Inc.
Stronghold Engineering
Sunnova Energy
SunPower Corporation
Sunterra Solar Inc
Sunworks
Swell Energy</v>
      </c>
      <c r="C9" s="29" t="s">
        <v>857</v>
      </c>
      <c r="D9" s="31"/>
      <c r="E9" s="34"/>
      <c r="F9" s="31"/>
      <c r="G9" s="34"/>
      <c r="H9" s="31"/>
      <c r="I9" s="34"/>
      <c r="J9" s="31"/>
      <c r="K9" s="34"/>
      <c r="L9" s="31"/>
      <c r="M9" s="34"/>
      <c r="N9" s="30" t="s">
        <v>1295</v>
      </c>
      <c r="O9" s="34"/>
      <c r="P9" s="31"/>
      <c r="Q9" s="34"/>
      <c r="R9" s="31"/>
      <c r="S9" s="34"/>
      <c r="T9" s="31"/>
      <c r="U9" s="34"/>
      <c r="V9" s="31"/>
      <c r="W9" s="34"/>
      <c r="X9" s="31"/>
      <c r="Y9" s="34"/>
      <c r="Z9" s="31"/>
      <c r="AA9" s="34"/>
      <c r="AB9" s="31"/>
      <c r="AC9" s="34"/>
      <c r="AD9" s="31"/>
      <c r="AE9" s="34"/>
      <c r="AF9" s="31"/>
      <c r="AG9" s="34"/>
      <c r="AH9" s="31"/>
      <c r="AI9" s="34" t="s">
        <v>202</v>
      </c>
      <c r="AJ9" s="31"/>
      <c r="AK9" s="34"/>
      <c r="AL9" s="31"/>
      <c r="AM9" s="34"/>
      <c r="AN9" s="31"/>
      <c r="AO9" s="34" t="s">
        <v>497</v>
      </c>
      <c r="AP9" s="31" t="s">
        <v>1231</v>
      </c>
      <c r="AQ9" s="34"/>
      <c r="AR9" s="31"/>
      <c r="AS9" s="34" t="s">
        <v>60</v>
      </c>
      <c r="AT9" s="31"/>
      <c r="AU9" s="34"/>
      <c r="AV9" s="31"/>
      <c r="AW9" s="34"/>
      <c r="AX9" s="31"/>
      <c r="AY9" s="34"/>
      <c r="AZ9" s="31"/>
      <c r="BA9" s="34" t="s">
        <v>351</v>
      </c>
      <c r="BB9" s="31"/>
      <c r="BC9" s="34"/>
      <c r="BD9" s="31"/>
      <c r="BE9" s="34"/>
      <c r="BF9" s="31"/>
      <c r="BG9" s="34"/>
      <c r="BH9" s="31"/>
      <c r="BI9" s="34"/>
      <c r="BJ9" s="31" t="s">
        <v>321</v>
      </c>
      <c r="BK9" s="34"/>
      <c r="BL9" s="31"/>
      <c r="BM9" s="34"/>
      <c r="BN9" s="31"/>
      <c r="BO9" s="34"/>
      <c r="BP9" s="31"/>
      <c r="BQ9" s="34" t="s">
        <v>391</v>
      </c>
      <c r="BR9" s="31"/>
      <c r="BS9" s="34"/>
      <c r="BT9" s="31"/>
      <c r="BU9" s="34"/>
      <c r="BV9" s="31"/>
      <c r="BW9" s="34" t="s">
        <v>532</v>
      </c>
      <c r="BX9" s="31" t="s">
        <v>280</v>
      </c>
      <c r="BY9" s="34"/>
      <c r="BZ9" s="31"/>
      <c r="CA9" s="34" t="s">
        <v>853</v>
      </c>
      <c r="CB9" s="31"/>
      <c r="CC9" s="34"/>
      <c r="CD9" s="31"/>
      <c r="CE9" s="34"/>
      <c r="CF9" s="31"/>
      <c r="CG9" s="34"/>
      <c r="CH9" s="31"/>
      <c r="CI9" s="34"/>
      <c r="CJ9" s="31"/>
      <c r="CK9" s="34"/>
      <c r="CL9" s="31"/>
      <c r="CM9" s="34"/>
      <c r="CN9" s="31" t="s">
        <v>487</v>
      </c>
      <c r="CO9" s="34"/>
      <c r="CP9" s="31"/>
      <c r="CQ9" s="34"/>
      <c r="CR9" s="31"/>
      <c r="CS9" s="34"/>
      <c r="CT9" s="31"/>
      <c r="CU9" s="34" t="s">
        <v>99</v>
      </c>
      <c r="CV9" s="31" t="s">
        <v>852</v>
      </c>
      <c r="CW9" s="34"/>
      <c r="CX9" s="31"/>
      <c r="CY9" s="34"/>
      <c r="CZ9" s="31"/>
      <c r="DA9" s="34"/>
      <c r="DB9" s="31"/>
      <c r="DC9" s="34"/>
      <c r="DD9" s="31"/>
      <c r="DE9" s="34"/>
      <c r="DF9" s="31"/>
      <c r="DG9" s="34"/>
      <c r="DH9" s="31"/>
      <c r="DI9" s="34"/>
      <c r="DJ9" s="31" t="s">
        <v>272</v>
      </c>
      <c r="DK9" s="34"/>
      <c r="DL9" s="31" t="s">
        <v>428</v>
      </c>
      <c r="DM9" s="34"/>
      <c r="DN9" s="31"/>
      <c r="DO9" s="34"/>
      <c r="DP9" s="31"/>
      <c r="DQ9" s="34"/>
      <c r="DR9" s="31"/>
      <c r="DS9" s="34"/>
      <c r="DT9" s="31"/>
      <c r="DU9" s="34"/>
      <c r="DV9" s="31" t="s">
        <v>109</v>
      </c>
      <c r="DW9" s="34" t="s">
        <v>895</v>
      </c>
      <c r="DX9" s="31"/>
      <c r="DY9" s="34"/>
      <c r="DZ9" s="31"/>
      <c r="EA9" s="34" t="s">
        <v>595</v>
      </c>
      <c r="EB9" s="31"/>
      <c r="EC9" s="34"/>
      <c r="ED9" s="31"/>
      <c r="EE9" s="34" t="s">
        <v>83</v>
      </c>
      <c r="EF9" s="31"/>
      <c r="EG9" s="34"/>
      <c r="EH9" s="31"/>
      <c r="EI9" s="34"/>
      <c r="EJ9" s="31"/>
      <c r="EK9" s="34"/>
      <c r="EL9" s="31"/>
      <c r="EM9" s="34"/>
      <c r="EN9" s="31"/>
      <c r="EO9" s="34"/>
      <c r="EP9" s="31"/>
      <c r="EQ9" s="34"/>
      <c r="ER9" s="31"/>
      <c r="ES9" s="34" t="s">
        <v>935</v>
      </c>
      <c r="ET9" s="31"/>
      <c r="EU9" s="34"/>
      <c r="EV9" s="31"/>
      <c r="EW9" s="34"/>
      <c r="EX9" s="31"/>
      <c r="EY9" s="34"/>
      <c r="EZ9" s="31"/>
      <c r="FA9" s="34"/>
      <c r="FB9" s="31"/>
      <c r="FC9" s="34"/>
      <c r="FD9" s="31" t="s">
        <v>484</v>
      </c>
      <c r="FE9" s="34"/>
      <c r="FF9" s="31"/>
      <c r="FG9" s="34"/>
      <c r="FH9" s="31"/>
      <c r="FI9" s="34" t="s">
        <v>354</v>
      </c>
      <c r="FJ9" s="31"/>
      <c r="FK9" s="34"/>
      <c r="FL9" s="31"/>
      <c r="FM9" s="34"/>
      <c r="FN9" s="31" t="s">
        <v>465</v>
      </c>
      <c r="FO9" s="34"/>
      <c r="FP9" s="31"/>
      <c r="FQ9" s="34"/>
      <c r="FR9" s="31"/>
      <c r="FS9" s="39"/>
      <c r="FT9" s="39"/>
      <c r="FU9" s="34"/>
      <c r="FV9" s="31"/>
      <c r="FW9" s="34"/>
      <c r="FX9" s="31"/>
      <c r="FY9" s="34"/>
      <c r="FZ9" s="31"/>
      <c r="GA9" s="34"/>
      <c r="GB9" s="31"/>
      <c r="GC9" s="34"/>
      <c r="GD9" s="31"/>
      <c r="GE9" s="34"/>
      <c r="GF9" s="31"/>
      <c r="GG9" s="34"/>
      <c r="GH9" s="31"/>
      <c r="GI9" s="34" t="s">
        <v>454</v>
      </c>
      <c r="GJ9" s="31"/>
      <c r="GK9" s="34"/>
      <c r="GL9" s="31"/>
      <c r="GM9" s="34" t="s">
        <v>501</v>
      </c>
      <c r="GN9" s="31"/>
      <c r="GO9" s="34"/>
      <c r="GP9" s="31"/>
      <c r="GQ9" s="34"/>
      <c r="GR9" s="31"/>
      <c r="GS9" s="34"/>
      <c r="GT9" s="31"/>
      <c r="GU9" s="34"/>
      <c r="GV9" s="31"/>
      <c r="GW9" s="34"/>
      <c r="GX9" s="31"/>
      <c r="GY9" s="34"/>
      <c r="GZ9" s="31"/>
      <c r="HA9" s="34"/>
      <c r="HB9" s="31"/>
      <c r="HC9" s="34"/>
      <c r="HD9" s="30" t="s">
        <v>102</v>
      </c>
      <c r="HE9" s="34" t="s">
        <v>901</v>
      </c>
      <c r="HF9" s="31"/>
      <c r="HG9" s="34"/>
      <c r="HH9" s="31"/>
      <c r="HI9" s="34"/>
      <c r="HJ9" s="31"/>
      <c r="HK9" s="34"/>
      <c r="HL9" s="31"/>
      <c r="HM9" s="34"/>
      <c r="HN9" s="31"/>
      <c r="HO9" s="34" t="s">
        <v>523</v>
      </c>
      <c r="HP9" s="31"/>
      <c r="HQ9" s="34"/>
      <c r="HR9" s="31"/>
      <c r="HS9" s="34" t="s">
        <v>195</v>
      </c>
      <c r="HT9" s="31"/>
      <c r="HU9" s="34"/>
      <c r="HV9" s="31"/>
      <c r="HW9" s="34"/>
      <c r="HX9" s="39" t="s">
        <v>163</v>
      </c>
      <c r="HY9" s="39" t="s">
        <v>877</v>
      </c>
      <c r="HZ9" s="31"/>
      <c r="IA9" s="34"/>
      <c r="IB9" s="31"/>
      <c r="IC9" s="34" t="s">
        <v>856</v>
      </c>
      <c r="ID9" s="31"/>
      <c r="IE9" s="34"/>
      <c r="IF9" s="31"/>
      <c r="IG9" s="34"/>
      <c r="IH9" s="31"/>
      <c r="II9" s="34"/>
      <c r="IJ9" s="31"/>
      <c r="IK9" s="34"/>
      <c r="IL9" s="31"/>
      <c r="IM9" s="34"/>
      <c r="IN9" s="31"/>
      <c r="IO9" s="34"/>
      <c r="IP9" s="31"/>
      <c r="IQ9" s="34"/>
      <c r="IR9" s="31"/>
      <c r="IS9" s="34"/>
      <c r="IT9" s="31"/>
      <c r="IU9" s="34"/>
      <c r="IV9" s="31"/>
      <c r="IW9" s="34"/>
      <c r="IX9" s="31"/>
      <c r="IY9" s="34"/>
      <c r="IZ9" s="31"/>
      <c r="JA9" s="34"/>
      <c r="JB9" s="36"/>
    </row>
    <row r="10" spans="1:262" ht="30" customHeight="1" x14ac:dyDescent="0.25">
      <c r="A10" s="27" t="s">
        <v>1241</v>
      </c>
      <c r="B10" s="48" t="str">
        <f t="shared" si="0"/>
        <v>1st Choice Development
3fficient
ACR Solar
Alpha Energy Management, Inc.
Ambrose Construction Inc
Apollo Home Performance
Aztec Solar Inc.
Bright Power
Byers
California Solar Electric Cooperative
California Solar Integrators, Inc.
California State Development
Capital City Solar
Centrica Business Solutions
Chico Electric
Citadel Roofing &amp; Solar
Climatec
Communication Infrastructure Corporation (CIC)
DC Solar Electric, Inc
DEL SOL NRG, INC.
Economic Energy Solutions
EDF Renewables Distributed Solutions
Enable Energy, Inc.
Enel X North America
Energy Independence Group
Engie Services US
ForeFront Power
Future Energy Corporation
Gold Rush Energy Solutions
Green Water and Power
GRID Alternatives
GS Homes
Horizon Solar Power
I Love My Solar
Ilum Solar
Infinity Energy Inc
Jonas Energy Solutions
Klein Power Electric
Kota Construction
Kuubix Energy, Inc.
LA Solar Group
Laibach Solar
LLUMETEC
Mack Electric/Gardner Energy
Modernize Construction
North State Solar Energy Construction
NRG Clean Power
Pacific Rim ConstructioRAM SOLAR
Promise Energy Inc
REC Solar
Sage Energy Consulting
Sierra Energy Savers
Sierra Pacific
SIG Solar
Solar Gain West LLC
Solar Pros Inc.
Solar Savings Direct
SolarNorcal, LLC
Spreck Energy
Stem, Inc.
Stronghold Engineering
Sun River Solar
Sunnova Energy
SunPower by Hooked On Solar
SunPower Corporation
SunStor
Sunterra Solar Inc
Sunworks
Sustainable Energy Group
Sustainable Technologies
Swell Energy
Synergy Power
Trinity Power
V3 Electric Inc
Vivint Solar
West Coast Solar
Westhaven Inc.
Your Energy Source (YES)</v>
      </c>
      <c r="C10" s="29" t="s">
        <v>857</v>
      </c>
      <c r="D10" s="30" t="s">
        <v>863</v>
      </c>
      <c r="E10" s="34"/>
      <c r="F10" s="31"/>
      <c r="G10" s="34" t="s">
        <v>866</v>
      </c>
      <c r="H10" s="31"/>
      <c r="I10" s="34"/>
      <c r="J10" s="31"/>
      <c r="K10" s="34"/>
      <c r="L10" s="31"/>
      <c r="M10" s="34"/>
      <c r="N10" s="30" t="s">
        <v>1295</v>
      </c>
      <c r="O10" s="34"/>
      <c r="P10" s="31"/>
      <c r="Q10" s="34"/>
      <c r="R10" s="31"/>
      <c r="S10" s="34" t="s">
        <v>87</v>
      </c>
      <c r="T10" s="31"/>
      <c r="U10" s="34" t="s">
        <v>915</v>
      </c>
      <c r="V10" s="31"/>
      <c r="W10" s="34"/>
      <c r="X10" s="31" t="s">
        <v>401</v>
      </c>
      <c r="Y10" s="34"/>
      <c r="Z10" s="31"/>
      <c r="AA10" s="34"/>
      <c r="AB10" s="31"/>
      <c r="AC10" s="34"/>
      <c r="AD10" s="31"/>
      <c r="AE10" s="34"/>
      <c r="AF10" s="31"/>
      <c r="AG10" s="34"/>
      <c r="AH10" s="31"/>
      <c r="AI10" s="34" t="s">
        <v>202</v>
      </c>
      <c r="AJ10" s="31"/>
      <c r="AK10" s="34" t="s">
        <v>882</v>
      </c>
      <c r="AL10" s="31"/>
      <c r="AM10" s="34"/>
      <c r="AN10" s="31" t="s">
        <v>505</v>
      </c>
      <c r="AO10" s="34" t="s">
        <v>497</v>
      </c>
      <c r="AP10" s="31" t="s">
        <v>1231</v>
      </c>
      <c r="AQ10" s="34"/>
      <c r="AR10" s="31" t="s">
        <v>923</v>
      </c>
      <c r="AS10" s="34" t="s">
        <v>60</v>
      </c>
      <c r="AT10" s="31" t="s">
        <v>205</v>
      </c>
      <c r="AU10" s="34"/>
      <c r="AV10" s="31" t="s">
        <v>199</v>
      </c>
      <c r="AW10" s="34"/>
      <c r="AX10" s="31"/>
      <c r="AY10" s="34"/>
      <c r="AZ10" s="31"/>
      <c r="BA10" s="34" t="s">
        <v>351</v>
      </c>
      <c r="BB10" s="31"/>
      <c r="BC10" s="34"/>
      <c r="BD10" s="31"/>
      <c r="BE10" s="34" t="s">
        <v>1215</v>
      </c>
      <c r="BF10" s="31"/>
      <c r="BG10" s="34"/>
      <c r="BH10" s="31"/>
      <c r="BI10" s="34"/>
      <c r="BJ10" s="31" t="s">
        <v>321</v>
      </c>
      <c r="BK10" s="34" t="s">
        <v>148</v>
      </c>
      <c r="BL10" s="31"/>
      <c r="BM10" s="34"/>
      <c r="BN10" s="31"/>
      <c r="BO10" s="34" t="s">
        <v>914</v>
      </c>
      <c r="BP10" s="31"/>
      <c r="BQ10" s="34" t="s">
        <v>391</v>
      </c>
      <c r="BR10" s="31"/>
      <c r="BS10" s="34"/>
      <c r="BT10" s="31"/>
      <c r="BU10" s="34"/>
      <c r="BV10" s="31" t="s">
        <v>330</v>
      </c>
      <c r="BW10" s="34" t="s">
        <v>532</v>
      </c>
      <c r="BX10" s="31" t="s">
        <v>280</v>
      </c>
      <c r="BY10" s="34"/>
      <c r="BZ10" s="31"/>
      <c r="CA10" s="34" t="s">
        <v>853</v>
      </c>
      <c r="CB10" s="31"/>
      <c r="CC10" s="34"/>
      <c r="CD10" s="31"/>
      <c r="CE10" s="34" t="s">
        <v>275</v>
      </c>
      <c r="CF10" s="31"/>
      <c r="CG10" s="34"/>
      <c r="CH10" s="31"/>
      <c r="CI10" s="34"/>
      <c r="CJ10" s="31" t="s">
        <v>323</v>
      </c>
      <c r="CK10" s="34"/>
      <c r="CL10" s="31"/>
      <c r="CM10" s="34"/>
      <c r="CN10" s="31" t="s">
        <v>487</v>
      </c>
      <c r="CO10" s="34"/>
      <c r="CP10" s="31"/>
      <c r="CQ10" s="34"/>
      <c r="CR10" s="31"/>
      <c r="CS10" s="34" t="s">
        <v>892</v>
      </c>
      <c r="CT10" s="31"/>
      <c r="CU10" s="34" t="s">
        <v>99</v>
      </c>
      <c r="CV10" s="31" t="s">
        <v>852</v>
      </c>
      <c r="CW10" s="34"/>
      <c r="CX10" s="31"/>
      <c r="CY10" s="34"/>
      <c r="CZ10" s="31"/>
      <c r="DA10" s="34"/>
      <c r="DB10" s="31"/>
      <c r="DC10" s="34"/>
      <c r="DD10" s="31"/>
      <c r="DE10" s="34" t="s">
        <v>134</v>
      </c>
      <c r="DF10" s="31"/>
      <c r="DG10" s="34"/>
      <c r="DH10" s="31"/>
      <c r="DI10" s="34" t="s">
        <v>858</v>
      </c>
      <c r="DJ10" s="31" t="s">
        <v>272</v>
      </c>
      <c r="DK10" s="34"/>
      <c r="DL10" s="31" t="s">
        <v>428</v>
      </c>
      <c r="DM10" s="34"/>
      <c r="DN10" s="31"/>
      <c r="DO10" s="34"/>
      <c r="DP10" s="31"/>
      <c r="DQ10" s="34"/>
      <c r="DR10" s="31" t="s">
        <v>908</v>
      </c>
      <c r="DS10" s="34"/>
      <c r="DT10" s="31" t="s">
        <v>41</v>
      </c>
      <c r="DU10" s="34" t="s">
        <v>267</v>
      </c>
      <c r="DV10" s="31" t="s">
        <v>109</v>
      </c>
      <c r="DW10" s="34" t="s">
        <v>895</v>
      </c>
      <c r="DX10" s="31" t="s">
        <v>932</v>
      </c>
      <c r="DY10" s="34"/>
      <c r="DZ10" s="31"/>
      <c r="EA10" s="34" t="s">
        <v>595</v>
      </c>
      <c r="EB10" s="31"/>
      <c r="EC10" s="34"/>
      <c r="ED10" s="31"/>
      <c r="EE10" s="34" t="s">
        <v>83</v>
      </c>
      <c r="EF10" s="31"/>
      <c r="EG10" s="34"/>
      <c r="EH10" s="31"/>
      <c r="EI10" s="34"/>
      <c r="EJ10" s="31" t="s">
        <v>136</v>
      </c>
      <c r="EK10" s="34"/>
      <c r="EL10" s="31"/>
      <c r="EM10" s="34"/>
      <c r="EN10" s="31"/>
      <c r="EO10" s="34"/>
      <c r="EP10" s="31"/>
      <c r="EQ10" s="34" t="s">
        <v>363</v>
      </c>
      <c r="ER10" s="31"/>
      <c r="ES10" s="34" t="s">
        <v>935</v>
      </c>
      <c r="ET10" s="31"/>
      <c r="EU10" s="34"/>
      <c r="EV10" s="31"/>
      <c r="EW10" s="34" t="s">
        <v>983</v>
      </c>
      <c r="EX10" s="31"/>
      <c r="EY10" s="34"/>
      <c r="EZ10" s="31"/>
      <c r="FA10" s="34"/>
      <c r="FB10" s="31"/>
      <c r="FC10" s="34"/>
      <c r="FD10" s="31" t="s">
        <v>484</v>
      </c>
      <c r="FE10" s="34"/>
      <c r="FF10" s="31"/>
      <c r="FG10" s="34"/>
      <c r="FH10" s="31"/>
      <c r="FI10" s="34" t="s">
        <v>354</v>
      </c>
      <c r="FJ10" s="31"/>
      <c r="FK10" s="34"/>
      <c r="FL10" s="31"/>
      <c r="FM10" s="34"/>
      <c r="FN10" s="31" t="s">
        <v>465</v>
      </c>
      <c r="FO10" s="34"/>
      <c r="FP10" s="31"/>
      <c r="FQ10" s="34"/>
      <c r="FR10" s="31"/>
      <c r="FS10" s="39"/>
      <c r="FT10" s="39"/>
      <c r="FU10" s="34"/>
      <c r="FV10" s="31" t="s">
        <v>139</v>
      </c>
      <c r="FW10" s="34" t="s">
        <v>886</v>
      </c>
      <c r="FX10" s="31" t="s">
        <v>934</v>
      </c>
      <c r="FY10" s="34"/>
      <c r="FZ10" s="31"/>
      <c r="GA10" s="34"/>
      <c r="GB10" s="31"/>
      <c r="GC10" s="34"/>
      <c r="GD10" s="31"/>
      <c r="GE10" s="34"/>
      <c r="GF10" s="31"/>
      <c r="GG10" s="34"/>
      <c r="GH10" s="31"/>
      <c r="GI10" s="34" t="s">
        <v>454</v>
      </c>
      <c r="GJ10" s="31"/>
      <c r="GK10" s="34"/>
      <c r="GL10" s="31"/>
      <c r="GM10" s="34" t="s">
        <v>501</v>
      </c>
      <c r="GN10" s="31"/>
      <c r="GO10" s="34" t="s">
        <v>96</v>
      </c>
      <c r="GP10" s="31"/>
      <c r="GQ10" s="34"/>
      <c r="GR10" s="31"/>
      <c r="GS10" s="34"/>
      <c r="GT10" s="31"/>
      <c r="GU10" s="34" t="s">
        <v>160</v>
      </c>
      <c r="GV10" s="31"/>
      <c r="GW10" s="34"/>
      <c r="GX10" s="31"/>
      <c r="GY10" s="34"/>
      <c r="GZ10" s="31" t="s">
        <v>894</v>
      </c>
      <c r="HA10" s="34"/>
      <c r="HB10" s="31"/>
      <c r="HC10" s="34"/>
      <c r="HD10" s="30" t="s">
        <v>102</v>
      </c>
      <c r="HE10" s="34" t="s">
        <v>901</v>
      </c>
      <c r="HF10" s="31"/>
      <c r="HG10" s="34"/>
      <c r="HH10" s="31" t="s">
        <v>297</v>
      </c>
      <c r="HI10" s="34"/>
      <c r="HJ10" s="31"/>
      <c r="HK10" s="34"/>
      <c r="HL10" s="31"/>
      <c r="HM10" s="34"/>
      <c r="HN10" s="31"/>
      <c r="HO10" s="34" t="s">
        <v>523</v>
      </c>
      <c r="HP10" s="31"/>
      <c r="HQ10" s="34" t="s">
        <v>1303</v>
      </c>
      <c r="HR10" s="31"/>
      <c r="HS10" s="34" t="s">
        <v>195</v>
      </c>
      <c r="HT10" s="31"/>
      <c r="HU10" s="34" t="s">
        <v>183</v>
      </c>
      <c r="HV10" s="31"/>
      <c r="HW10" s="34"/>
      <c r="HX10" s="39" t="s">
        <v>163</v>
      </c>
      <c r="HY10" s="39" t="s">
        <v>877</v>
      </c>
      <c r="HZ10" s="31" t="s">
        <v>49</v>
      </c>
      <c r="IA10" s="34" t="s">
        <v>544</v>
      </c>
      <c r="IB10" s="31"/>
      <c r="IC10" s="34" t="s">
        <v>856</v>
      </c>
      <c r="ID10" s="31"/>
      <c r="IE10" s="34"/>
      <c r="IF10" s="31" t="s">
        <v>513</v>
      </c>
      <c r="IG10" s="34"/>
      <c r="IH10" s="31"/>
      <c r="II10" s="34"/>
      <c r="IJ10" s="31"/>
      <c r="IK10" s="34" t="s">
        <v>937</v>
      </c>
      <c r="IL10" s="31"/>
      <c r="IM10" s="34" t="s">
        <v>175</v>
      </c>
      <c r="IN10" s="31"/>
      <c r="IO10" s="34"/>
      <c r="IP10" s="31" t="s">
        <v>45</v>
      </c>
      <c r="IQ10" s="34"/>
      <c r="IR10" s="31"/>
      <c r="IS10" s="34"/>
      <c r="IT10" s="31" t="s">
        <v>855</v>
      </c>
      <c r="IU10" s="34"/>
      <c r="IV10" s="31" t="s">
        <v>315</v>
      </c>
      <c r="IW10" s="34"/>
      <c r="IX10" s="31"/>
      <c r="IY10" s="34"/>
      <c r="IZ10" s="31"/>
      <c r="JA10" s="34" t="s">
        <v>871</v>
      </c>
      <c r="JB10" s="36"/>
    </row>
    <row r="11" spans="1:262" ht="30" customHeight="1" x14ac:dyDescent="0.25">
      <c r="A11" s="27" t="s">
        <v>1242</v>
      </c>
      <c r="B11" s="48" t="str">
        <f t="shared" si="0"/>
        <v>1st Choice Development
A-1 Contractors Inc. dba A-1 Electric
Airsun
Alpha Energy Management, Inc.
AltSys Solar Incorporated
Ambrose Construction Inc
Ameresco Solar
Apollo Home Performance
Baker Electric
Blue Planet Water and Power Company
Bright Power
CalCom Energy
California Solar Integrators, Inc.
California State Development
CalSun Electric and Solar Systems, Inc.
Centrica Business Solutions
Chico Electric
Climatec
Communication Infrastructure Corporation (CIC)
DC Solar Electric, Inc
Donald P. Dick Air Conditioning
EDF Renewables Distributed Solutions
Enel X North America
Energy Independence Group
Engie Services US
ForeFront Power
Freevolt
FreeVolt USA INC
Fresco Solar
Gold Rush Energy Solutions
Golden Bear Solar, Inc.
Golden State Power
Green Water and Power
GRID Alternatives
GS Homes
Horizon Solar Power
Ilum Solar
Infinity Energy Inc
Kota Construction
Kuubix Energy, Inc.
LA Solar Group
Laibach Solar
LLUMETEC
Mack Electric/Gardner Energy
North State Solar Energy Construction
NRG Clean Power
Pacific Rim ConstructioRAM SOLAR
PacificWest Energy Solutions, Inc.
Photon Brothers
Promise Energy Inc
Quality Home Services
REC Solar
Revel Energy
RHA
Sage Energy Consulting
Semper Solaris
SIG Solar
Solar Gain West LLC
Solar Maintenance Pros
Solar Optimum Inc
Solar Pros Inc.
Solar Savings Direct
Solar Symphony Construction Inc
SolTek Industries Inc.
Spreck Energy
Stem, Inc.
Stronghold Engineering
Sunnova Energy
SunPower by Hooked On Solar
SunPower by Quality Home Services
SunPower Corporation
SunStor
Sunstreet
Sunterra Solar Inc
Sunworks
Swell Energy
Trinity Power
Valley Unique Electric, Inc.
Vivint Solar
Westhaven Inc.
Your Energy Source (YES)</v>
      </c>
      <c r="C11" s="29" t="s">
        <v>857</v>
      </c>
      <c r="D11" s="31"/>
      <c r="E11" s="33" t="s">
        <v>240</v>
      </c>
      <c r="F11" s="31"/>
      <c r="G11" s="34"/>
      <c r="H11" s="31"/>
      <c r="I11" s="34"/>
      <c r="J11" s="31" t="s">
        <v>907</v>
      </c>
      <c r="K11" s="34"/>
      <c r="L11" s="31"/>
      <c r="M11" s="34"/>
      <c r="N11" s="30" t="s">
        <v>1295</v>
      </c>
      <c r="O11" s="34"/>
      <c r="P11" s="31"/>
      <c r="Q11" s="34" t="s">
        <v>881</v>
      </c>
      <c r="R11" s="31"/>
      <c r="S11" s="34" t="s">
        <v>87</v>
      </c>
      <c r="T11" s="31" t="s">
        <v>427</v>
      </c>
      <c r="U11" s="34" t="s">
        <v>915</v>
      </c>
      <c r="V11" s="31"/>
      <c r="W11" s="34"/>
      <c r="X11" s="31"/>
      <c r="Y11" s="34"/>
      <c r="Z11" s="31" t="s">
        <v>883</v>
      </c>
      <c r="AA11" s="34"/>
      <c r="AB11" s="31"/>
      <c r="AC11" s="34"/>
      <c r="AD11" s="31"/>
      <c r="AE11" s="34" t="s">
        <v>943</v>
      </c>
      <c r="AF11" s="31"/>
      <c r="AG11" s="34"/>
      <c r="AH11" s="31"/>
      <c r="AI11" s="34" t="s">
        <v>202</v>
      </c>
      <c r="AJ11" s="31"/>
      <c r="AK11" s="34"/>
      <c r="AL11" s="31" t="s">
        <v>217</v>
      </c>
      <c r="AM11" s="34"/>
      <c r="AN11" s="31"/>
      <c r="AO11" s="34" t="s">
        <v>497</v>
      </c>
      <c r="AP11" s="31" t="s">
        <v>1231</v>
      </c>
      <c r="AQ11" s="34" t="s">
        <v>926</v>
      </c>
      <c r="AR11" s="31"/>
      <c r="AS11" s="34" t="s">
        <v>60</v>
      </c>
      <c r="AT11" s="31" t="s">
        <v>205</v>
      </c>
      <c r="AU11" s="34"/>
      <c r="AV11" s="31"/>
      <c r="AW11" s="34"/>
      <c r="AX11" s="31"/>
      <c r="AY11" s="34"/>
      <c r="AZ11" s="31"/>
      <c r="BA11" s="34" t="s">
        <v>351</v>
      </c>
      <c r="BB11" s="31"/>
      <c r="BC11" s="34"/>
      <c r="BD11" s="31"/>
      <c r="BE11" s="34" t="s">
        <v>1215</v>
      </c>
      <c r="BF11" s="31"/>
      <c r="BG11" s="34"/>
      <c r="BH11" s="31"/>
      <c r="BI11" s="34"/>
      <c r="BJ11" s="31" t="s">
        <v>321</v>
      </c>
      <c r="BK11" s="34"/>
      <c r="BL11" s="31" t="s">
        <v>888</v>
      </c>
      <c r="BM11" s="34"/>
      <c r="BN11" s="31"/>
      <c r="BO11" s="34"/>
      <c r="BP11" s="31"/>
      <c r="BQ11" s="34" t="s">
        <v>391</v>
      </c>
      <c r="BR11" s="31"/>
      <c r="BS11" s="34"/>
      <c r="BT11" s="31"/>
      <c r="BU11" s="34"/>
      <c r="BV11" s="31"/>
      <c r="BW11" s="34" t="s">
        <v>532</v>
      </c>
      <c r="BX11" s="31" t="s">
        <v>280</v>
      </c>
      <c r="BY11" s="34"/>
      <c r="BZ11" s="31"/>
      <c r="CA11" s="34" t="s">
        <v>853</v>
      </c>
      <c r="CB11" s="31"/>
      <c r="CC11" s="34"/>
      <c r="CD11" s="31"/>
      <c r="CE11" s="34" t="s">
        <v>275</v>
      </c>
      <c r="CF11" s="31" t="s">
        <v>253</v>
      </c>
      <c r="CG11" s="34" t="s">
        <v>327</v>
      </c>
      <c r="CH11" s="31" t="s">
        <v>929</v>
      </c>
      <c r="CI11" s="34"/>
      <c r="CJ11" s="31"/>
      <c r="CK11" s="34"/>
      <c r="CL11" s="31"/>
      <c r="CM11" s="34"/>
      <c r="CN11" s="31" t="s">
        <v>487</v>
      </c>
      <c r="CO11" s="34" t="s">
        <v>307</v>
      </c>
      <c r="CP11" s="31" t="s">
        <v>296</v>
      </c>
      <c r="CQ11" s="34"/>
      <c r="CR11" s="31"/>
      <c r="CS11" s="34" t="s">
        <v>892</v>
      </c>
      <c r="CT11" s="31"/>
      <c r="CU11" s="34" t="s">
        <v>99</v>
      </c>
      <c r="CV11" s="31" t="s">
        <v>852</v>
      </c>
      <c r="CW11" s="34"/>
      <c r="CX11" s="31"/>
      <c r="CY11" s="34"/>
      <c r="CZ11" s="31"/>
      <c r="DA11" s="34"/>
      <c r="DB11" s="31"/>
      <c r="DC11" s="34"/>
      <c r="DD11" s="31"/>
      <c r="DE11" s="34" t="s">
        <v>134</v>
      </c>
      <c r="DF11" s="31"/>
      <c r="DG11" s="34"/>
      <c r="DH11" s="31"/>
      <c r="DI11" s="34"/>
      <c r="DJ11" s="31" t="s">
        <v>272</v>
      </c>
      <c r="DK11" s="34"/>
      <c r="DL11" s="31" t="s">
        <v>428</v>
      </c>
      <c r="DM11" s="34"/>
      <c r="DN11" s="31"/>
      <c r="DO11" s="34"/>
      <c r="DP11" s="31"/>
      <c r="DQ11" s="34"/>
      <c r="DR11" s="31"/>
      <c r="DS11" s="34"/>
      <c r="DT11" s="31"/>
      <c r="DU11" s="34" t="s">
        <v>267</v>
      </c>
      <c r="DV11" s="31" t="s">
        <v>109</v>
      </c>
      <c r="DW11" s="34" t="s">
        <v>895</v>
      </c>
      <c r="DX11" s="31" t="s">
        <v>932</v>
      </c>
      <c r="DY11" s="34"/>
      <c r="DZ11" s="31"/>
      <c r="EA11" s="34" t="s">
        <v>595</v>
      </c>
      <c r="EB11" s="31"/>
      <c r="EC11" s="34"/>
      <c r="ED11" s="31"/>
      <c r="EE11" s="34" t="s">
        <v>83</v>
      </c>
      <c r="EF11" s="31"/>
      <c r="EG11" s="34"/>
      <c r="EH11" s="31"/>
      <c r="EI11" s="34"/>
      <c r="EJ11" s="31"/>
      <c r="EK11" s="34"/>
      <c r="EL11" s="31"/>
      <c r="EM11" s="34"/>
      <c r="EN11" s="31"/>
      <c r="EO11" s="34"/>
      <c r="EP11" s="31"/>
      <c r="EQ11" s="34" t="s">
        <v>363</v>
      </c>
      <c r="ER11" s="31"/>
      <c r="ES11" s="34" t="s">
        <v>935</v>
      </c>
      <c r="ET11" s="31"/>
      <c r="EU11" s="34"/>
      <c r="EV11" s="31"/>
      <c r="EW11" s="34" t="s">
        <v>983</v>
      </c>
      <c r="EX11" s="31"/>
      <c r="EY11" s="34" t="s">
        <v>559</v>
      </c>
      <c r="EZ11" s="31"/>
      <c r="FA11" s="34"/>
      <c r="FB11" s="31" t="s">
        <v>921</v>
      </c>
      <c r="FC11" s="34"/>
      <c r="FD11" s="31" t="s">
        <v>484</v>
      </c>
      <c r="FE11" s="34"/>
      <c r="FF11" s="31" t="s">
        <v>439</v>
      </c>
      <c r="FG11" s="34"/>
      <c r="FH11" s="31"/>
      <c r="FI11" s="34" t="s">
        <v>354</v>
      </c>
      <c r="FJ11" s="31"/>
      <c r="FK11" s="34" t="s">
        <v>341</v>
      </c>
      <c r="FL11" s="31" t="s">
        <v>854</v>
      </c>
      <c r="FM11" s="34"/>
      <c r="FN11" s="31" t="s">
        <v>465</v>
      </c>
      <c r="FO11" s="34"/>
      <c r="FP11" s="31"/>
      <c r="FQ11" s="34"/>
      <c r="FR11" s="31"/>
      <c r="FS11" s="39"/>
      <c r="FT11" s="39"/>
      <c r="FU11" s="34" t="s">
        <v>630</v>
      </c>
      <c r="FV11" s="31"/>
      <c r="FW11" s="34"/>
      <c r="FX11" s="31" t="s">
        <v>934</v>
      </c>
      <c r="FY11" s="34"/>
      <c r="FZ11" s="31"/>
      <c r="GA11" s="34"/>
      <c r="GB11" s="31"/>
      <c r="GC11" s="34"/>
      <c r="GD11" s="31"/>
      <c r="GE11" s="34"/>
      <c r="GF11" s="31"/>
      <c r="GG11" s="34"/>
      <c r="GH11" s="31"/>
      <c r="GI11" s="34" t="s">
        <v>454</v>
      </c>
      <c r="GJ11" s="31"/>
      <c r="GK11" s="34" t="s">
        <v>953</v>
      </c>
      <c r="GL11" s="31" t="s">
        <v>106</v>
      </c>
      <c r="GM11" s="34" t="s">
        <v>501</v>
      </c>
      <c r="GN11" s="31"/>
      <c r="GO11" s="34" t="s">
        <v>96</v>
      </c>
      <c r="GP11" s="31"/>
      <c r="GQ11" s="34" t="s">
        <v>244</v>
      </c>
      <c r="GR11" s="31"/>
      <c r="GS11" s="34"/>
      <c r="GT11" s="31"/>
      <c r="GU11" s="34"/>
      <c r="GV11" s="31"/>
      <c r="GW11" s="34"/>
      <c r="GX11" s="31" t="s">
        <v>950</v>
      </c>
      <c r="GY11" s="34"/>
      <c r="GZ11" s="31" t="s">
        <v>894</v>
      </c>
      <c r="HA11" s="34"/>
      <c r="HB11" s="31"/>
      <c r="HC11" s="34"/>
      <c r="HD11" s="30" t="s">
        <v>102</v>
      </c>
      <c r="HE11" s="34" t="s">
        <v>901</v>
      </c>
      <c r="HF11" s="31"/>
      <c r="HG11" s="34"/>
      <c r="HH11" s="31"/>
      <c r="HI11" s="34"/>
      <c r="HJ11" s="31"/>
      <c r="HK11" s="34"/>
      <c r="HL11" s="31"/>
      <c r="HM11" s="34"/>
      <c r="HN11" s="31"/>
      <c r="HO11" s="34" t="s">
        <v>523</v>
      </c>
      <c r="HP11" s="31"/>
      <c r="HQ11" s="34" t="s">
        <v>1303</v>
      </c>
      <c r="HR11" s="31" t="s">
        <v>1302</v>
      </c>
      <c r="HS11" s="34" t="s">
        <v>195</v>
      </c>
      <c r="HT11" s="31"/>
      <c r="HU11" s="34" t="s">
        <v>183</v>
      </c>
      <c r="HV11" s="31" t="s">
        <v>370</v>
      </c>
      <c r="HW11" s="34"/>
      <c r="HX11" s="39" t="s">
        <v>163</v>
      </c>
      <c r="HY11" s="39" t="s">
        <v>877</v>
      </c>
      <c r="HZ11" s="31"/>
      <c r="IA11" s="34"/>
      <c r="IB11" s="31"/>
      <c r="IC11" s="34" t="s">
        <v>856</v>
      </c>
      <c r="ID11" s="31"/>
      <c r="IE11" s="34"/>
      <c r="IF11" s="31"/>
      <c r="IG11" s="34"/>
      <c r="IH11" s="31"/>
      <c r="II11" s="34"/>
      <c r="IJ11" s="31"/>
      <c r="IK11" s="34" t="s">
        <v>937</v>
      </c>
      <c r="IL11" s="31"/>
      <c r="IM11" s="34"/>
      <c r="IN11" s="31" t="s">
        <v>884</v>
      </c>
      <c r="IO11" s="34"/>
      <c r="IP11" s="31" t="s">
        <v>45</v>
      </c>
      <c r="IQ11" s="34"/>
      <c r="IR11" s="31"/>
      <c r="IS11" s="34"/>
      <c r="IT11" s="31"/>
      <c r="IU11" s="34"/>
      <c r="IV11" s="31" t="s">
        <v>315</v>
      </c>
      <c r="IW11" s="34"/>
      <c r="IX11" s="31"/>
      <c r="IY11" s="34"/>
      <c r="IZ11" s="31"/>
      <c r="JA11" s="34" t="s">
        <v>871</v>
      </c>
      <c r="JB11" s="36"/>
    </row>
    <row r="12" spans="1:262" ht="30" customHeight="1" x14ac:dyDescent="0.25">
      <c r="A12" s="26" t="s">
        <v>1243</v>
      </c>
      <c r="B12" s="48" t="str">
        <f t="shared" si="0"/>
        <v>1st Choice Development
ACR Solar
Alpha Energy Management, Inc.
Apollo Home Performance
Bright Power
California Solar Integrators, Inc.
California State Development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Kuubix Energy, Inc.
LA Solar Group
LLUMETEC
Mack Electric/Gardner Energy
North State Solar Energy Construction
NRG Clean Power
Pacific Rim ConstructioRAM SOLAR
Promise Energy Inc
REC Solar
Royal Aire Inc
Sage Energy Consulting
Solar Gain West LLC
Solar Pros Inc.
Solar Savings Direct
Stem, Inc.
Stronghold Engineering
Sunnova Energy
SunPower Corporation
SunStor
Sunterra Solar Inc
Sunworks
Swell Energy
Vivint Solar
Westhaven Inc.</v>
      </c>
      <c r="C12" s="29" t="s">
        <v>857</v>
      </c>
      <c r="D12" s="31"/>
      <c r="E12" s="34"/>
      <c r="F12" s="31"/>
      <c r="G12" s="34" t="s">
        <v>866</v>
      </c>
      <c r="H12" s="31"/>
      <c r="I12" s="34"/>
      <c r="J12" s="31"/>
      <c r="K12" s="34"/>
      <c r="L12" s="31"/>
      <c r="M12" s="34"/>
      <c r="N12" s="30" t="s">
        <v>1295</v>
      </c>
      <c r="O12" s="34"/>
      <c r="P12" s="31"/>
      <c r="Q12" s="34"/>
      <c r="R12" s="31"/>
      <c r="S12" s="34"/>
      <c r="T12" s="31"/>
      <c r="U12" s="34" t="s">
        <v>915</v>
      </c>
      <c r="V12" s="31"/>
      <c r="W12" s="34"/>
      <c r="X12" s="31"/>
      <c r="Y12" s="34"/>
      <c r="Z12" s="31"/>
      <c r="AA12" s="34"/>
      <c r="AB12" s="31"/>
      <c r="AC12" s="34"/>
      <c r="AD12" s="31"/>
      <c r="AE12" s="34"/>
      <c r="AF12" s="31"/>
      <c r="AG12" s="34"/>
      <c r="AH12" s="31"/>
      <c r="AI12" s="34" t="s">
        <v>202</v>
      </c>
      <c r="AJ12" s="31"/>
      <c r="AK12" s="34"/>
      <c r="AL12" s="31"/>
      <c r="AM12" s="34"/>
      <c r="AN12" s="31"/>
      <c r="AO12" s="34" t="s">
        <v>497</v>
      </c>
      <c r="AP12" s="31" t="s">
        <v>1231</v>
      </c>
      <c r="AQ12" s="34"/>
      <c r="AR12" s="31"/>
      <c r="AS12" s="34" t="s">
        <v>60</v>
      </c>
      <c r="AT12" s="31" t="s">
        <v>205</v>
      </c>
      <c r="AU12" s="34"/>
      <c r="AV12" s="31" t="s">
        <v>199</v>
      </c>
      <c r="AW12" s="34"/>
      <c r="AX12" s="31"/>
      <c r="AY12" s="34"/>
      <c r="AZ12" s="31"/>
      <c r="BA12" s="34" t="s">
        <v>351</v>
      </c>
      <c r="BB12" s="31"/>
      <c r="BC12" s="34"/>
      <c r="BD12" s="31"/>
      <c r="BE12" s="34"/>
      <c r="BF12" s="31"/>
      <c r="BG12" s="34"/>
      <c r="BH12" s="31"/>
      <c r="BI12" s="34"/>
      <c r="BJ12" s="31" t="s">
        <v>321</v>
      </c>
      <c r="BK12" s="34"/>
      <c r="BL12" s="31"/>
      <c r="BM12" s="34"/>
      <c r="BN12" s="31"/>
      <c r="BO12" s="34"/>
      <c r="BP12" s="31"/>
      <c r="BQ12" s="34" t="s">
        <v>391</v>
      </c>
      <c r="BR12" s="31"/>
      <c r="BS12" s="34"/>
      <c r="BT12" s="31"/>
      <c r="BU12" s="34"/>
      <c r="BV12" s="31" t="s">
        <v>330</v>
      </c>
      <c r="BW12" s="34" t="s">
        <v>532</v>
      </c>
      <c r="BX12" s="31" t="s">
        <v>280</v>
      </c>
      <c r="BY12" s="34"/>
      <c r="BZ12" s="31"/>
      <c r="CA12" s="34" t="s">
        <v>853</v>
      </c>
      <c r="CB12" s="31"/>
      <c r="CC12" s="34"/>
      <c r="CD12" s="31"/>
      <c r="CE12" s="34" t="s">
        <v>275</v>
      </c>
      <c r="CF12" s="31"/>
      <c r="CG12" s="34"/>
      <c r="CH12" s="31"/>
      <c r="CI12" s="34"/>
      <c r="CJ12" s="31"/>
      <c r="CK12" s="34"/>
      <c r="CL12" s="31"/>
      <c r="CM12" s="34"/>
      <c r="CN12" s="31" t="s">
        <v>487</v>
      </c>
      <c r="CO12" s="34"/>
      <c r="CP12" s="31"/>
      <c r="CQ12" s="34"/>
      <c r="CR12" s="31"/>
      <c r="CS12" s="34" t="s">
        <v>892</v>
      </c>
      <c r="CT12" s="31"/>
      <c r="CU12" s="34" t="s">
        <v>99</v>
      </c>
      <c r="CV12" s="31" t="s">
        <v>852</v>
      </c>
      <c r="CW12" s="34" t="s">
        <v>167</v>
      </c>
      <c r="CX12" s="31"/>
      <c r="CY12" s="34"/>
      <c r="CZ12" s="31"/>
      <c r="DA12" s="34"/>
      <c r="DB12" s="31"/>
      <c r="DC12" s="34"/>
      <c r="DD12" s="31"/>
      <c r="DE12" s="34" t="s">
        <v>134</v>
      </c>
      <c r="DF12" s="31"/>
      <c r="DG12" s="34"/>
      <c r="DH12" s="31"/>
      <c r="DI12" s="34"/>
      <c r="DJ12" s="31" t="s">
        <v>272</v>
      </c>
      <c r="DK12" s="34"/>
      <c r="DL12" s="31" t="s">
        <v>428</v>
      </c>
      <c r="DM12" s="34"/>
      <c r="DN12" s="31"/>
      <c r="DO12" s="34"/>
      <c r="DP12" s="31"/>
      <c r="DQ12" s="34"/>
      <c r="DR12" s="31"/>
      <c r="DS12" s="34"/>
      <c r="DT12" s="31"/>
      <c r="DU12" s="34"/>
      <c r="DV12" s="31" t="s">
        <v>109</v>
      </c>
      <c r="DW12" s="34" t="s">
        <v>895</v>
      </c>
      <c r="DX12" s="31"/>
      <c r="DY12" s="34"/>
      <c r="DZ12" s="31"/>
      <c r="EA12" s="34" t="s">
        <v>595</v>
      </c>
      <c r="EB12" s="31"/>
      <c r="EC12" s="34"/>
      <c r="ED12" s="31"/>
      <c r="EE12" s="34" t="s">
        <v>83</v>
      </c>
      <c r="EF12" s="31"/>
      <c r="EG12" s="34"/>
      <c r="EH12" s="31"/>
      <c r="EI12" s="34"/>
      <c r="EJ12" s="31"/>
      <c r="EK12" s="34"/>
      <c r="EL12" s="31"/>
      <c r="EM12" s="34"/>
      <c r="EN12" s="31"/>
      <c r="EO12" s="34"/>
      <c r="EP12" s="31"/>
      <c r="EQ12" s="34" t="s">
        <v>363</v>
      </c>
      <c r="ER12" s="31"/>
      <c r="ES12" s="34" t="s">
        <v>935</v>
      </c>
      <c r="ET12" s="31"/>
      <c r="EU12" s="34"/>
      <c r="EV12" s="31"/>
      <c r="EW12" s="34" t="s">
        <v>983</v>
      </c>
      <c r="EX12" s="31"/>
      <c r="EY12" s="34"/>
      <c r="EZ12" s="31"/>
      <c r="FA12" s="34"/>
      <c r="FB12" s="31"/>
      <c r="FC12" s="34"/>
      <c r="FD12" s="31" t="s">
        <v>484</v>
      </c>
      <c r="FE12" s="34"/>
      <c r="FF12" s="31"/>
      <c r="FG12" s="34"/>
      <c r="FH12" s="31"/>
      <c r="FI12" s="34" t="s">
        <v>354</v>
      </c>
      <c r="FJ12" s="31"/>
      <c r="FK12" s="34"/>
      <c r="FL12" s="31"/>
      <c r="FM12" s="34" t="s">
        <v>312</v>
      </c>
      <c r="FN12" s="31" t="s">
        <v>465</v>
      </c>
      <c r="FO12" s="34"/>
      <c r="FP12" s="31"/>
      <c r="FQ12" s="34"/>
      <c r="FR12" s="31"/>
      <c r="FS12" s="39"/>
      <c r="FT12" s="39"/>
      <c r="FU12" s="34"/>
      <c r="FV12" s="31"/>
      <c r="FW12" s="34"/>
      <c r="FX12" s="31"/>
      <c r="FY12" s="34"/>
      <c r="FZ12" s="31"/>
      <c r="GA12" s="34"/>
      <c r="GB12" s="31"/>
      <c r="GC12" s="34"/>
      <c r="GD12" s="31"/>
      <c r="GE12" s="34"/>
      <c r="GF12" s="31"/>
      <c r="GG12" s="34"/>
      <c r="GH12" s="31"/>
      <c r="GI12" s="34" t="s">
        <v>454</v>
      </c>
      <c r="GJ12" s="31"/>
      <c r="GK12" s="34"/>
      <c r="GL12" s="31"/>
      <c r="GM12" s="34" t="s">
        <v>501</v>
      </c>
      <c r="GN12" s="31"/>
      <c r="GO12" s="34" t="s">
        <v>96</v>
      </c>
      <c r="GP12" s="31"/>
      <c r="GQ12" s="34"/>
      <c r="GR12" s="31"/>
      <c r="GS12" s="34"/>
      <c r="GT12" s="31"/>
      <c r="GU12" s="34"/>
      <c r="GV12" s="31"/>
      <c r="GW12" s="34"/>
      <c r="GX12" s="31"/>
      <c r="GY12" s="34"/>
      <c r="GZ12" s="31"/>
      <c r="HA12" s="34"/>
      <c r="HB12" s="31"/>
      <c r="HC12" s="34"/>
      <c r="HD12" s="30" t="s">
        <v>102</v>
      </c>
      <c r="HE12" s="34" t="s">
        <v>901</v>
      </c>
      <c r="HF12" s="31"/>
      <c r="HG12" s="34"/>
      <c r="HH12" s="31"/>
      <c r="HI12" s="34"/>
      <c r="HJ12" s="31"/>
      <c r="HK12" s="34"/>
      <c r="HL12" s="31"/>
      <c r="HM12" s="34"/>
      <c r="HN12" s="31"/>
      <c r="HO12" s="34" t="s">
        <v>523</v>
      </c>
      <c r="HP12" s="31"/>
      <c r="HQ12" s="34"/>
      <c r="HR12" s="31"/>
      <c r="HS12" s="34" t="s">
        <v>195</v>
      </c>
      <c r="HT12" s="31"/>
      <c r="HU12" s="34" t="s">
        <v>183</v>
      </c>
      <c r="HV12" s="31"/>
      <c r="HW12" s="34"/>
      <c r="HX12" s="39" t="s">
        <v>163</v>
      </c>
      <c r="HY12" s="39" t="s">
        <v>877</v>
      </c>
      <c r="HZ12" s="31"/>
      <c r="IA12" s="34"/>
      <c r="IB12" s="31"/>
      <c r="IC12" s="34" t="s">
        <v>856</v>
      </c>
      <c r="ID12" s="31"/>
      <c r="IE12" s="34"/>
      <c r="IF12" s="31"/>
      <c r="IG12" s="34"/>
      <c r="IH12" s="31"/>
      <c r="II12" s="34"/>
      <c r="IJ12" s="31"/>
      <c r="IK12" s="34"/>
      <c r="IL12" s="31"/>
      <c r="IM12" s="34"/>
      <c r="IN12" s="31"/>
      <c r="IO12" s="34"/>
      <c r="IP12" s="31" t="s">
        <v>45</v>
      </c>
      <c r="IQ12" s="34"/>
      <c r="IR12" s="31"/>
      <c r="IS12" s="34"/>
      <c r="IT12" s="31"/>
      <c r="IU12" s="34"/>
      <c r="IV12" s="31" t="s">
        <v>315</v>
      </c>
      <c r="IW12" s="34"/>
      <c r="IX12" s="31"/>
      <c r="IY12" s="34"/>
      <c r="IZ12" s="31"/>
      <c r="JA12" s="34"/>
      <c r="JB12" s="36"/>
    </row>
    <row r="13" spans="1:262" ht="30" customHeight="1" x14ac:dyDescent="0.25">
      <c r="A13" s="27" t="s">
        <v>1246</v>
      </c>
      <c r="B13" s="48" t="str">
        <f t="shared" si="0"/>
        <v>1st Choice Development
Alpha Energy Management, Inc.
Ameresco Solar
Apollo Home Performance
Bright Power
California Solar Integrators, Inc.
California State Development
Centrica Business Solutions
Climatec
DC Solar Electric, Inc
EDF Renewables Distributed Solutions
Elements of Earth and Energy
Enel X North America
Energy Independence Group
Engie Services US
ForeFront Power
Gold Rush Energy Solutions
Green Water and Power
GRID Alternatives
GS Homes
Haven Electric
Ilum Solar
Infinity Energy Inc
Innovative Energy Systems (IES)
J&amp;J Electric DBA Vital Energy Solutions, LLC
Kuubix Energy, Inc.
LA Solar Group
LLUMETEC
Mack Electric/Gardner Energy
North State Solar Energy Construction
NRG Clean Power
Pacific Rim ConstructioRAM SOLAR
Promise Energy Inc
REC Solar
Sage Energy Consulting
Sarter Construction &amp; Design, Inc / Off the Grid Design / Sol Lux Alpha
Scurfield Solar &amp; Heating
Solar Gain West LLC
Solar Pros Inc.
Stem, Inc.
Stronghold Engineering
Sunnova Energy
SunPower Corporation
SunStor
Sunterra Solar Inc
Sunworks
Swell Energy
Urban Energy Inc
Wesley Hodges General Contractor (Part owner of Six Rivers Solar) 
Westhaven Inc.</v>
      </c>
      <c r="C13" s="29" t="s">
        <v>857</v>
      </c>
      <c r="D13" s="31"/>
      <c r="E13" s="34"/>
      <c r="F13" s="31"/>
      <c r="G13" s="34"/>
      <c r="H13" s="31"/>
      <c r="I13" s="34"/>
      <c r="J13" s="31"/>
      <c r="K13" s="34"/>
      <c r="L13" s="31"/>
      <c r="M13" s="34"/>
      <c r="N13" s="30" t="s">
        <v>1295</v>
      </c>
      <c r="O13" s="34"/>
      <c r="P13" s="31"/>
      <c r="Q13" s="34"/>
      <c r="R13" s="31"/>
      <c r="S13" s="34"/>
      <c r="T13" s="31" t="s">
        <v>427</v>
      </c>
      <c r="U13" s="34" t="s">
        <v>915</v>
      </c>
      <c r="V13" s="31"/>
      <c r="W13" s="34"/>
      <c r="X13" s="31"/>
      <c r="Y13" s="34"/>
      <c r="Z13" s="31"/>
      <c r="AA13" s="34"/>
      <c r="AB13" s="31"/>
      <c r="AC13" s="34"/>
      <c r="AD13" s="31"/>
      <c r="AE13" s="34"/>
      <c r="AF13" s="31"/>
      <c r="AG13" s="34"/>
      <c r="AH13" s="31"/>
      <c r="AI13" s="34" t="s">
        <v>202</v>
      </c>
      <c r="AJ13" s="31"/>
      <c r="AK13" s="34"/>
      <c r="AL13" s="31"/>
      <c r="AM13" s="34"/>
      <c r="AN13" s="31"/>
      <c r="AO13" s="34" t="s">
        <v>497</v>
      </c>
      <c r="AP13" s="31" t="s">
        <v>1231</v>
      </c>
      <c r="AQ13" s="34"/>
      <c r="AR13" s="31"/>
      <c r="AS13" s="34" t="s">
        <v>60</v>
      </c>
      <c r="AT13" s="31"/>
      <c r="AU13" s="34"/>
      <c r="AV13" s="31"/>
      <c r="AW13" s="34"/>
      <c r="AX13" s="31"/>
      <c r="AY13" s="34"/>
      <c r="AZ13" s="31"/>
      <c r="BA13" s="34" t="s">
        <v>351</v>
      </c>
      <c r="BB13" s="31"/>
      <c r="BC13" s="34"/>
      <c r="BD13" s="31"/>
      <c r="BE13" s="34"/>
      <c r="BF13" s="31"/>
      <c r="BG13" s="34"/>
      <c r="BH13" s="31"/>
      <c r="BI13" s="34"/>
      <c r="BJ13" s="31" t="s">
        <v>321</v>
      </c>
      <c r="BK13" s="34"/>
      <c r="BL13" s="31"/>
      <c r="BM13" s="34"/>
      <c r="BN13" s="31"/>
      <c r="BO13" s="34"/>
      <c r="BP13" s="31"/>
      <c r="BQ13" s="34" t="s">
        <v>391</v>
      </c>
      <c r="BR13" s="31"/>
      <c r="BS13" s="34"/>
      <c r="BT13" s="31" t="s">
        <v>878</v>
      </c>
      <c r="BU13" s="34"/>
      <c r="BV13" s="31"/>
      <c r="BW13" s="34" t="s">
        <v>532</v>
      </c>
      <c r="BX13" s="31" t="s">
        <v>280</v>
      </c>
      <c r="BY13" s="34"/>
      <c r="BZ13" s="31"/>
      <c r="CA13" s="34" t="s">
        <v>853</v>
      </c>
      <c r="CB13" s="31"/>
      <c r="CC13" s="34"/>
      <c r="CD13" s="31"/>
      <c r="CE13" s="34" t="s">
        <v>275</v>
      </c>
      <c r="CF13" s="31"/>
      <c r="CG13" s="34"/>
      <c r="CH13" s="31"/>
      <c r="CI13" s="34"/>
      <c r="CJ13" s="31"/>
      <c r="CK13" s="34"/>
      <c r="CL13" s="31"/>
      <c r="CM13" s="34"/>
      <c r="CN13" s="31" t="s">
        <v>487</v>
      </c>
      <c r="CO13" s="34"/>
      <c r="CP13" s="31"/>
      <c r="CQ13" s="34"/>
      <c r="CR13" s="31"/>
      <c r="CS13" s="34" t="s">
        <v>892</v>
      </c>
      <c r="CT13" s="31"/>
      <c r="CU13" s="34" t="s">
        <v>99</v>
      </c>
      <c r="CV13" s="31" t="s">
        <v>852</v>
      </c>
      <c r="CW13" s="34"/>
      <c r="CX13" s="31"/>
      <c r="CY13" s="34"/>
      <c r="CZ13" s="31" t="s">
        <v>946</v>
      </c>
      <c r="DA13" s="34"/>
      <c r="DB13" s="31"/>
      <c r="DC13" s="34"/>
      <c r="DD13" s="31"/>
      <c r="DE13" s="34"/>
      <c r="DF13" s="31"/>
      <c r="DG13" s="34"/>
      <c r="DH13" s="31"/>
      <c r="DI13" s="34"/>
      <c r="DJ13" s="31" t="s">
        <v>272</v>
      </c>
      <c r="DK13" s="34"/>
      <c r="DL13" s="31" t="s">
        <v>428</v>
      </c>
      <c r="DM13" s="34"/>
      <c r="DN13" s="31" t="s">
        <v>868</v>
      </c>
      <c r="DO13" s="34" t="s">
        <v>234</v>
      </c>
      <c r="DP13" s="31"/>
      <c r="DQ13" s="34"/>
      <c r="DR13" s="31"/>
      <c r="DS13" s="34"/>
      <c r="DT13" s="31"/>
      <c r="DU13" s="34"/>
      <c r="DV13" s="31" t="s">
        <v>109</v>
      </c>
      <c r="DW13" s="34" t="s">
        <v>895</v>
      </c>
      <c r="DX13" s="31"/>
      <c r="DY13" s="34"/>
      <c r="DZ13" s="31"/>
      <c r="EA13" s="34" t="s">
        <v>595</v>
      </c>
      <c r="EB13" s="31"/>
      <c r="EC13" s="34"/>
      <c r="ED13" s="31"/>
      <c r="EE13" s="34" t="s">
        <v>83</v>
      </c>
      <c r="EF13" s="31"/>
      <c r="EG13" s="34"/>
      <c r="EH13" s="31"/>
      <c r="EI13" s="34"/>
      <c r="EJ13" s="31"/>
      <c r="EK13" s="34"/>
      <c r="EL13" s="31"/>
      <c r="EM13" s="34"/>
      <c r="EN13" s="31"/>
      <c r="EO13" s="34"/>
      <c r="EP13" s="31"/>
      <c r="EQ13" s="34" t="s">
        <v>363</v>
      </c>
      <c r="ER13" s="31"/>
      <c r="ES13" s="34" t="s">
        <v>935</v>
      </c>
      <c r="ET13" s="31"/>
      <c r="EU13" s="34"/>
      <c r="EV13" s="31"/>
      <c r="EW13" s="34" t="s">
        <v>983</v>
      </c>
      <c r="EX13" s="31"/>
      <c r="EY13" s="34"/>
      <c r="EZ13" s="31"/>
      <c r="FA13" s="34"/>
      <c r="FB13" s="31"/>
      <c r="FC13" s="34"/>
      <c r="FD13" s="31" t="s">
        <v>484</v>
      </c>
      <c r="FE13" s="34"/>
      <c r="FF13" s="31"/>
      <c r="FG13" s="34"/>
      <c r="FH13" s="31"/>
      <c r="FI13" s="34" t="s">
        <v>354</v>
      </c>
      <c r="FJ13" s="31"/>
      <c r="FK13" s="34"/>
      <c r="FL13" s="31"/>
      <c r="FM13" s="34"/>
      <c r="FN13" s="31" t="s">
        <v>465</v>
      </c>
      <c r="FO13" s="34"/>
      <c r="FP13" s="31"/>
      <c r="FQ13" s="34" t="s">
        <v>171</v>
      </c>
      <c r="FR13" s="31"/>
      <c r="FS13" s="39"/>
      <c r="FT13" s="38" t="s">
        <v>290</v>
      </c>
      <c r="FU13" s="34"/>
      <c r="FV13" s="31"/>
      <c r="FW13" s="34"/>
      <c r="FX13" s="31"/>
      <c r="FY13" s="34"/>
      <c r="FZ13" s="31"/>
      <c r="GA13" s="34"/>
      <c r="GB13" s="31"/>
      <c r="GC13" s="34"/>
      <c r="GD13" s="31"/>
      <c r="GE13" s="34"/>
      <c r="GF13" s="31"/>
      <c r="GG13" s="34"/>
      <c r="GH13" s="31"/>
      <c r="GI13" s="34" t="s">
        <v>454</v>
      </c>
      <c r="GJ13" s="31"/>
      <c r="GK13" s="34"/>
      <c r="GL13" s="31"/>
      <c r="GM13" s="34" t="s">
        <v>501</v>
      </c>
      <c r="GN13" s="31"/>
      <c r="GO13" s="34"/>
      <c r="GP13" s="31"/>
      <c r="GQ13" s="34"/>
      <c r="GR13" s="31"/>
      <c r="GS13" s="34"/>
      <c r="GT13" s="31"/>
      <c r="GU13" s="34"/>
      <c r="GV13" s="31"/>
      <c r="GW13" s="34"/>
      <c r="GX13" s="31"/>
      <c r="GY13" s="34"/>
      <c r="GZ13" s="31"/>
      <c r="HA13" s="34"/>
      <c r="HB13" s="31"/>
      <c r="HC13" s="34"/>
      <c r="HD13" s="30" t="s">
        <v>102</v>
      </c>
      <c r="HE13" s="34" t="s">
        <v>901</v>
      </c>
      <c r="HF13" s="31"/>
      <c r="HG13" s="34"/>
      <c r="HH13" s="31"/>
      <c r="HI13" s="34"/>
      <c r="HJ13" s="31"/>
      <c r="HK13" s="34"/>
      <c r="HL13" s="31"/>
      <c r="HM13" s="34"/>
      <c r="HN13" s="31"/>
      <c r="HO13" s="34" t="s">
        <v>523</v>
      </c>
      <c r="HP13" s="31"/>
      <c r="HQ13" s="34"/>
      <c r="HR13" s="31"/>
      <c r="HS13" s="34" t="s">
        <v>195</v>
      </c>
      <c r="HT13" s="31"/>
      <c r="HU13" s="34" t="s">
        <v>183</v>
      </c>
      <c r="HV13" s="31"/>
      <c r="HW13" s="34"/>
      <c r="HX13" s="39" t="s">
        <v>163</v>
      </c>
      <c r="HY13" s="39" t="s">
        <v>877</v>
      </c>
      <c r="HZ13" s="31"/>
      <c r="IA13" s="34"/>
      <c r="IB13" s="31"/>
      <c r="IC13" s="34" t="s">
        <v>856</v>
      </c>
      <c r="ID13" s="31"/>
      <c r="IE13" s="34"/>
      <c r="IF13" s="31"/>
      <c r="IG13" s="34"/>
      <c r="IH13" s="31"/>
      <c r="II13" s="34"/>
      <c r="IJ13" s="31"/>
      <c r="IK13" s="34"/>
      <c r="IL13" s="31" t="s">
        <v>80</v>
      </c>
      <c r="IM13" s="34"/>
      <c r="IN13" s="31"/>
      <c r="IO13" s="34"/>
      <c r="IP13" s="31"/>
      <c r="IQ13" s="34"/>
      <c r="IR13" s="31"/>
      <c r="IS13" s="34" t="s">
        <v>1226</v>
      </c>
      <c r="IT13" s="31"/>
      <c r="IU13" s="34"/>
      <c r="IV13" s="31" t="s">
        <v>315</v>
      </c>
      <c r="IW13" s="34"/>
      <c r="IX13" s="31"/>
      <c r="IY13" s="34"/>
      <c r="IZ13" s="31"/>
      <c r="JA13" s="34"/>
      <c r="JB13" s="36"/>
    </row>
    <row r="14" spans="1:262" ht="30" customHeight="1" x14ac:dyDescent="0.25">
      <c r="A14" s="26" t="s">
        <v>1247</v>
      </c>
      <c r="B14" s="48" t="str">
        <f t="shared" si="0"/>
        <v>1st Choice Development
Alpha Energy Management, Inc.
Altair Solar Inc
Ameresco Solar
Baker Electric
Bright Power
California Solar Integrators, Inc.
California State Development
Centrica Business Solutions
Climatec
DC Solar Electric, Inc
EDF Renewables Distributed Solutions
Enel X North America
Energy Independence Group
Energy Innovative Solutions LLC
Engie Services US
ForeFront Power
Freevolt
Go Green Solar
Gold Rush Energy Solutions
Green Water and Power
GRID Alternatives
GS Homes
Horizon Solar Power
Ilum Solar
Infinity Energy Inc
Kota Construction
Kuubix Energy, Inc.
LA Solar Group
LLUMETEC
Mack Electric/Gardner Energy
NB Baker LTD (Baker Electric Home Energy)
NRG Clean Power
Option One Solar
Pacific Rim ConstructioRAM SOLAR
PacificWest Energy Solutions, Inc.
Palomar Solar and Roofing
Promise Energy Inc
REC Solar
Renova Energy Corp
Revel Energy
Sage Energy Consulting
Semper Solaris
Solar Gain West LLC
Solar Pros Inc.
Solar Symphony Construction Inc
Stellar Solar
Stem, Inc.
Stronghold Engineering
Sunnova Energy
SunPower Corporation
Sunterra Solar Inc
Sunworks
Swell Energy
Vivint Solar
Xnergy
Your Energy Source (YES)</v>
      </c>
      <c r="C14" s="29" t="s">
        <v>857</v>
      </c>
      <c r="D14" s="31"/>
      <c r="E14" s="34"/>
      <c r="F14" s="31"/>
      <c r="G14" s="34"/>
      <c r="H14" s="31"/>
      <c r="I14" s="34"/>
      <c r="J14" s="31"/>
      <c r="K14" s="34"/>
      <c r="L14" s="31"/>
      <c r="M14" s="34"/>
      <c r="N14" s="30" t="s">
        <v>1295</v>
      </c>
      <c r="O14" s="34"/>
      <c r="P14" s="31" t="s">
        <v>122</v>
      </c>
      <c r="Q14" s="34"/>
      <c r="R14" s="31"/>
      <c r="S14" s="34"/>
      <c r="T14" s="31" t="s">
        <v>427</v>
      </c>
      <c r="U14" s="34"/>
      <c r="V14" s="31"/>
      <c r="W14" s="34"/>
      <c r="X14" s="31"/>
      <c r="Y14" s="34"/>
      <c r="Z14" s="31" t="s">
        <v>883</v>
      </c>
      <c r="AA14" s="34"/>
      <c r="AB14" s="31"/>
      <c r="AC14" s="34"/>
      <c r="AD14" s="31"/>
      <c r="AE14" s="34"/>
      <c r="AF14" s="31"/>
      <c r="AG14" s="34"/>
      <c r="AH14" s="31"/>
      <c r="AI14" s="34" t="s">
        <v>202</v>
      </c>
      <c r="AJ14" s="31"/>
      <c r="AK14" s="34"/>
      <c r="AL14" s="31"/>
      <c r="AM14" s="34"/>
      <c r="AN14" s="31"/>
      <c r="AO14" s="34" t="s">
        <v>497</v>
      </c>
      <c r="AP14" s="31" t="s">
        <v>1231</v>
      </c>
      <c r="AQ14" s="34"/>
      <c r="AR14" s="31"/>
      <c r="AS14" s="34" t="s">
        <v>60</v>
      </c>
      <c r="AT14" s="31"/>
      <c r="AU14" s="34"/>
      <c r="AV14" s="31"/>
      <c r="AW14" s="34"/>
      <c r="AX14" s="31"/>
      <c r="AY14" s="34"/>
      <c r="AZ14" s="31"/>
      <c r="BA14" s="34" t="s">
        <v>351</v>
      </c>
      <c r="BB14" s="31"/>
      <c r="BC14" s="34"/>
      <c r="BD14" s="31"/>
      <c r="BE14" s="34"/>
      <c r="BF14" s="31"/>
      <c r="BG14" s="34"/>
      <c r="BH14" s="31"/>
      <c r="BI14" s="34"/>
      <c r="BJ14" s="31" t="s">
        <v>321</v>
      </c>
      <c r="BK14" s="34"/>
      <c r="BL14" s="31"/>
      <c r="BM14" s="34"/>
      <c r="BN14" s="31"/>
      <c r="BO14" s="34"/>
      <c r="BP14" s="31"/>
      <c r="BQ14" s="34" t="s">
        <v>391</v>
      </c>
      <c r="BR14" s="31"/>
      <c r="BS14" s="34"/>
      <c r="BT14" s="31"/>
      <c r="BU14" s="34"/>
      <c r="BV14" s="31"/>
      <c r="BW14" s="34" t="s">
        <v>532</v>
      </c>
      <c r="BX14" s="31" t="s">
        <v>280</v>
      </c>
      <c r="BY14" s="34" t="s">
        <v>211</v>
      </c>
      <c r="BZ14" s="31"/>
      <c r="CA14" s="34" t="s">
        <v>853</v>
      </c>
      <c r="CB14" s="31"/>
      <c r="CC14" s="34"/>
      <c r="CD14" s="31"/>
      <c r="CE14" s="34" t="s">
        <v>275</v>
      </c>
      <c r="CF14" s="31" t="s">
        <v>253</v>
      </c>
      <c r="CG14" s="34"/>
      <c r="CH14" s="31"/>
      <c r="CI14" s="34"/>
      <c r="CJ14" s="31"/>
      <c r="CK14" s="34"/>
      <c r="CL14" s="31" t="s">
        <v>417</v>
      </c>
      <c r="CM14" s="34"/>
      <c r="CN14" s="31" t="s">
        <v>487</v>
      </c>
      <c r="CO14" s="34"/>
      <c r="CP14" s="31"/>
      <c r="CQ14" s="34"/>
      <c r="CR14" s="31"/>
      <c r="CS14" s="34" t="s">
        <v>892</v>
      </c>
      <c r="CT14" s="31"/>
      <c r="CU14" s="34" t="s">
        <v>99</v>
      </c>
      <c r="CV14" s="31" t="s">
        <v>852</v>
      </c>
      <c r="CW14" s="34"/>
      <c r="CX14" s="31"/>
      <c r="CY14" s="34"/>
      <c r="CZ14" s="31"/>
      <c r="DA14" s="34"/>
      <c r="DB14" s="31"/>
      <c r="DC14" s="34"/>
      <c r="DD14" s="31"/>
      <c r="DE14" s="34" t="s">
        <v>134</v>
      </c>
      <c r="DF14" s="31"/>
      <c r="DG14" s="34"/>
      <c r="DH14" s="31"/>
      <c r="DI14" s="34"/>
      <c r="DJ14" s="31" t="s">
        <v>272</v>
      </c>
      <c r="DK14" s="34"/>
      <c r="DL14" s="31" t="s">
        <v>428</v>
      </c>
      <c r="DM14" s="34"/>
      <c r="DN14" s="31"/>
      <c r="DO14" s="34"/>
      <c r="DP14" s="31"/>
      <c r="DQ14" s="34"/>
      <c r="DR14" s="31"/>
      <c r="DS14" s="34"/>
      <c r="DT14" s="31"/>
      <c r="DU14" s="34" t="s">
        <v>267</v>
      </c>
      <c r="DV14" s="31" t="s">
        <v>109</v>
      </c>
      <c r="DW14" s="34" t="s">
        <v>895</v>
      </c>
      <c r="DX14" s="31"/>
      <c r="DY14" s="34"/>
      <c r="DZ14" s="31"/>
      <c r="EA14" s="34" t="s">
        <v>595</v>
      </c>
      <c r="EB14" s="31"/>
      <c r="EC14" s="34"/>
      <c r="ED14" s="31"/>
      <c r="EE14" s="34" t="s">
        <v>83</v>
      </c>
      <c r="EF14" s="31"/>
      <c r="EG14" s="34"/>
      <c r="EH14" s="31"/>
      <c r="EI14" s="34"/>
      <c r="EJ14" s="31"/>
      <c r="EK14" s="34" t="s">
        <v>535</v>
      </c>
      <c r="EL14" s="31"/>
      <c r="EM14" s="34"/>
      <c r="EN14" s="31"/>
      <c r="EO14" s="34"/>
      <c r="EP14" s="31"/>
      <c r="EQ14" s="34"/>
      <c r="ER14" s="31"/>
      <c r="ES14" s="34" t="s">
        <v>935</v>
      </c>
      <c r="ET14" s="31"/>
      <c r="EU14" s="34" t="s">
        <v>264</v>
      </c>
      <c r="EV14" s="31"/>
      <c r="EW14" s="34" t="s">
        <v>983</v>
      </c>
      <c r="EX14" s="31"/>
      <c r="EY14" s="34" t="s">
        <v>559</v>
      </c>
      <c r="EZ14" s="31" t="s">
        <v>156</v>
      </c>
      <c r="FA14" s="34"/>
      <c r="FB14" s="31"/>
      <c r="FC14" s="34"/>
      <c r="FD14" s="31" t="s">
        <v>484</v>
      </c>
      <c r="FE14" s="34"/>
      <c r="FF14" s="31"/>
      <c r="FG14" s="34"/>
      <c r="FH14" s="31"/>
      <c r="FI14" s="34" t="s">
        <v>354</v>
      </c>
      <c r="FJ14" s="31" t="s">
        <v>278</v>
      </c>
      <c r="FK14" s="34" t="s">
        <v>341</v>
      </c>
      <c r="FL14" s="31"/>
      <c r="FM14" s="34"/>
      <c r="FN14" s="31" t="s">
        <v>465</v>
      </c>
      <c r="FO14" s="34"/>
      <c r="FP14" s="31"/>
      <c r="FQ14" s="34"/>
      <c r="FR14" s="31"/>
      <c r="FS14" s="39"/>
      <c r="FT14" s="39"/>
      <c r="FU14" s="34" t="s">
        <v>630</v>
      </c>
      <c r="FV14" s="31"/>
      <c r="FW14" s="34"/>
      <c r="FX14" s="31"/>
      <c r="FY14" s="34"/>
      <c r="FZ14" s="31"/>
      <c r="GA14" s="34"/>
      <c r="GB14" s="31"/>
      <c r="GC14" s="34"/>
      <c r="GD14" s="31"/>
      <c r="GE14" s="34"/>
      <c r="GF14" s="31"/>
      <c r="GG14" s="34"/>
      <c r="GH14" s="31"/>
      <c r="GI14" s="34" t="s">
        <v>454</v>
      </c>
      <c r="GJ14" s="31"/>
      <c r="GK14" s="34"/>
      <c r="GL14" s="31"/>
      <c r="GM14" s="34" t="s">
        <v>501</v>
      </c>
      <c r="GN14" s="31"/>
      <c r="GO14" s="34"/>
      <c r="GP14" s="31"/>
      <c r="GQ14" s="34" t="s">
        <v>244</v>
      </c>
      <c r="GR14" s="31"/>
      <c r="GS14" s="34"/>
      <c r="GT14" s="31"/>
      <c r="GU14" s="34"/>
      <c r="GV14" s="31"/>
      <c r="GW14" s="34"/>
      <c r="GX14" s="31"/>
      <c r="GY14" s="34"/>
      <c r="GZ14" s="31"/>
      <c r="HA14" s="34"/>
      <c r="HB14" s="31"/>
      <c r="HC14" s="34" t="s">
        <v>129</v>
      </c>
      <c r="HD14" s="30" t="s">
        <v>102</v>
      </c>
      <c r="HE14" s="34" t="s">
        <v>901</v>
      </c>
      <c r="HF14" s="31"/>
      <c r="HG14" s="34"/>
      <c r="HH14" s="31"/>
      <c r="HI14" s="34"/>
      <c r="HJ14" s="31"/>
      <c r="HK14" s="34"/>
      <c r="HL14" s="31"/>
      <c r="HM14" s="34"/>
      <c r="HN14" s="31"/>
      <c r="HO14" s="34" t="s">
        <v>523</v>
      </c>
      <c r="HP14" s="31"/>
      <c r="HQ14" s="34"/>
      <c r="HR14" s="31"/>
      <c r="HS14" s="34" t="s">
        <v>195</v>
      </c>
      <c r="HT14" s="31"/>
      <c r="HU14" s="34"/>
      <c r="HV14" s="31"/>
      <c r="HW14" s="34"/>
      <c r="HX14" s="39" t="s">
        <v>163</v>
      </c>
      <c r="HY14" s="39" t="s">
        <v>877</v>
      </c>
      <c r="HZ14" s="31"/>
      <c r="IA14" s="34"/>
      <c r="IB14" s="31"/>
      <c r="IC14" s="34" t="s">
        <v>856</v>
      </c>
      <c r="ID14" s="31"/>
      <c r="IE14" s="34"/>
      <c r="IF14" s="31"/>
      <c r="IG14" s="34"/>
      <c r="IH14" s="31"/>
      <c r="II14" s="34"/>
      <c r="IJ14" s="31"/>
      <c r="IK14" s="34"/>
      <c r="IL14" s="31"/>
      <c r="IM14" s="34"/>
      <c r="IN14" s="31"/>
      <c r="IO14" s="34"/>
      <c r="IP14" s="31" t="s">
        <v>45</v>
      </c>
      <c r="IQ14" s="34"/>
      <c r="IR14" s="31"/>
      <c r="IS14" s="34"/>
      <c r="IT14" s="31"/>
      <c r="IU14" s="34"/>
      <c r="IV14" s="31"/>
      <c r="IW14" s="34"/>
      <c r="IX14" s="31"/>
      <c r="IY14" s="34" t="s">
        <v>902</v>
      </c>
      <c r="IZ14" s="31"/>
      <c r="JA14" s="34" t="s">
        <v>871</v>
      </c>
      <c r="JB14" s="36"/>
    </row>
    <row r="15" spans="1:262" ht="30" customHeight="1" x14ac:dyDescent="0.25">
      <c r="A15" s="27" t="s">
        <v>1248</v>
      </c>
      <c r="B15" s="48" t="str">
        <f t="shared" si="0"/>
        <v>1st Choice Development
Alpha Energy Management, Inc.
Ameresco Solar
Apollo Home Performance
Baker Electric
Berger Solar Electric, LLC.
Bright Power
California Solar Integrators, Inc.
California State Development
Centrica Business Solutions
Climatec
Communication Infrastructure Corporation (CIC)
DC Solar Electric, Inc
EDF Renewables Distributed Solutions
Enel X North America
Energy Independence Group
Energy Options
Engie Services US
ForeFront Power
Freevolt
Gold Rush Energy Solutions
Golden State Power
Green Water and Power
GRID Alternatives
GS Homes
Ilum Solar
Infinity Energy Inc
Kota Construction
Kuubix Energy, Inc.
LA Solar Group
LLUMETEC
Mack Electric/Gardner Energy
NRG Clean Power
Option One Solar
PacificWest Energy Solutions, Inc.
Promise Energy Inc
REC Solar
Sage Energy Consulting
Solar Gain West LLC
Solar Pros Inc.
Stem, Inc.
Stronghold Engineering
Sunnova Energy
SunPower Corporation
Sunterra Solar Inc
Sunworks
Swell Energy
Trinity Power
V3 Electric Inc
Your Energy Source (YES)</v>
      </c>
      <c r="C15" s="29" t="s">
        <v>857</v>
      </c>
      <c r="D15" s="31"/>
      <c r="E15" s="34"/>
      <c r="F15" s="31"/>
      <c r="G15" s="34"/>
      <c r="H15" s="31"/>
      <c r="I15" s="34"/>
      <c r="J15" s="31"/>
      <c r="K15" s="34"/>
      <c r="L15" s="31"/>
      <c r="M15" s="34"/>
      <c r="N15" s="30" t="s">
        <v>1295</v>
      </c>
      <c r="O15" s="34"/>
      <c r="P15" s="31"/>
      <c r="Q15" s="34"/>
      <c r="R15" s="31"/>
      <c r="S15" s="34"/>
      <c r="T15" s="31" t="s">
        <v>427</v>
      </c>
      <c r="U15" s="34" t="s">
        <v>915</v>
      </c>
      <c r="V15" s="31"/>
      <c r="W15" s="34"/>
      <c r="X15" s="31"/>
      <c r="Y15" s="34"/>
      <c r="Z15" s="31" t="s">
        <v>883</v>
      </c>
      <c r="AA15" s="34"/>
      <c r="AB15" s="31"/>
      <c r="AC15" s="34" t="s">
        <v>366</v>
      </c>
      <c r="AD15" s="31"/>
      <c r="AE15" s="34"/>
      <c r="AF15" s="31"/>
      <c r="AG15" s="34"/>
      <c r="AH15" s="31"/>
      <c r="AI15" s="34" t="s">
        <v>202</v>
      </c>
      <c r="AJ15" s="31"/>
      <c r="AK15" s="34"/>
      <c r="AL15" s="31"/>
      <c r="AM15" s="34"/>
      <c r="AN15" s="31"/>
      <c r="AO15" s="34" t="s">
        <v>497</v>
      </c>
      <c r="AP15" s="31" t="s">
        <v>1231</v>
      </c>
      <c r="AQ15" s="34"/>
      <c r="AR15" s="31"/>
      <c r="AS15" s="34" t="s">
        <v>60</v>
      </c>
      <c r="AT15" s="31"/>
      <c r="AU15" s="34"/>
      <c r="AV15" s="31"/>
      <c r="AW15" s="34"/>
      <c r="AX15" s="31"/>
      <c r="AY15" s="34"/>
      <c r="AZ15" s="31"/>
      <c r="BA15" s="34" t="s">
        <v>351</v>
      </c>
      <c r="BB15" s="31"/>
      <c r="BC15" s="34"/>
      <c r="BD15" s="31"/>
      <c r="BE15" s="34" t="s">
        <v>1215</v>
      </c>
      <c r="BF15" s="31"/>
      <c r="BG15" s="34"/>
      <c r="BH15" s="31"/>
      <c r="BI15" s="34"/>
      <c r="BJ15" s="31" t="s">
        <v>321</v>
      </c>
      <c r="BK15" s="34"/>
      <c r="BL15" s="31"/>
      <c r="BM15" s="34"/>
      <c r="BN15" s="31"/>
      <c r="BO15" s="34"/>
      <c r="BP15" s="31"/>
      <c r="BQ15" s="34" t="s">
        <v>391</v>
      </c>
      <c r="BR15" s="31"/>
      <c r="BS15" s="34"/>
      <c r="BT15" s="31"/>
      <c r="BU15" s="34"/>
      <c r="BV15" s="31"/>
      <c r="BW15" s="34" t="s">
        <v>532</v>
      </c>
      <c r="BX15" s="31" t="s">
        <v>280</v>
      </c>
      <c r="BY15" s="34"/>
      <c r="BZ15" s="31" t="s">
        <v>896</v>
      </c>
      <c r="CA15" s="34" t="s">
        <v>853</v>
      </c>
      <c r="CB15" s="31"/>
      <c r="CC15" s="34"/>
      <c r="CD15" s="31"/>
      <c r="CE15" s="34" t="s">
        <v>275</v>
      </c>
      <c r="CF15" s="31" t="s">
        <v>253</v>
      </c>
      <c r="CG15" s="34"/>
      <c r="CH15" s="31"/>
      <c r="CI15" s="34"/>
      <c r="CJ15" s="31"/>
      <c r="CK15" s="34"/>
      <c r="CL15" s="31"/>
      <c r="CM15" s="34"/>
      <c r="CN15" s="31" t="s">
        <v>487</v>
      </c>
      <c r="CO15" s="34"/>
      <c r="CP15" s="31" t="s">
        <v>296</v>
      </c>
      <c r="CQ15" s="34"/>
      <c r="CR15" s="31"/>
      <c r="CS15" s="34" t="s">
        <v>892</v>
      </c>
      <c r="CT15" s="31"/>
      <c r="CU15" s="34" t="s">
        <v>99</v>
      </c>
      <c r="CV15" s="31" t="s">
        <v>852</v>
      </c>
      <c r="CW15" s="34"/>
      <c r="CX15" s="31"/>
      <c r="CY15" s="34"/>
      <c r="CZ15" s="31"/>
      <c r="DA15" s="34"/>
      <c r="DB15" s="31"/>
      <c r="DC15" s="34"/>
      <c r="DD15" s="31"/>
      <c r="DE15" s="34"/>
      <c r="DF15" s="31"/>
      <c r="DG15" s="34"/>
      <c r="DH15" s="31"/>
      <c r="DI15" s="34"/>
      <c r="DJ15" s="31" t="s">
        <v>272</v>
      </c>
      <c r="DK15" s="34"/>
      <c r="DL15" s="31" t="s">
        <v>428</v>
      </c>
      <c r="DM15" s="34"/>
      <c r="DN15" s="31"/>
      <c r="DO15" s="34"/>
      <c r="DP15" s="31"/>
      <c r="DQ15" s="34"/>
      <c r="DR15" s="31"/>
      <c r="DS15" s="34"/>
      <c r="DT15" s="31"/>
      <c r="DU15" s="34" t="s">
        <v>267</v>
      </c>
      <c r="DV15" s="31" t="s">
        <v>109</v>
      </c>
      <c r="DW15" s="34" t="s">
        <v>895</v>
      </c>
      <c r="DX15" s="31"/>
      <c r="DY15" s="34"/>
      <c r="DZ15" s="31"/>
      <c r="EA15" s="34" t="s">
        <v>595</v>
      </c>
      <c r="EB15" s="31"/>
      <c r="EC15" s="34"/>
      <c r="ED15" s="31"/>
      <c r="EE15" s="34" t="s">
        <v>83</v>
      </c>
      <c r="EF15" s="31"/>
      <c r="EG15" s="34"/>
      <c r="EH15" s="31"/>
      <c r="EI15" s="34"/>
      <c r="EJ15" s="31"/>
      <c r="EK15" s="34"/>
      <c r="EL15" s="31"/>
      <c r="EM15" s="34"/>
      <c r="EN15" s="31"/>
      <c r="EO15" s="34"/>
      <c r="EP15" s="31"/>
      <c r="EQ15" s="34"/>
      <c r="ER15" s="31"/>
      <c r="ES15" s="34" t="s">
        <v>935</v>
      </c>
      <c r="ET15" s="31"/>
      <c r="EU15" s="34" t="s">
        <v>264</v>
      </c>
      <c r="EV15" s="31"/>
      <c r="EW15" s="34"/>
      <c r="EX15" s="31"/>
      <c r="EY15" s="34" t="s">
        <v>559</v>
      </c>
      <c r="EZ15" s="31"/>
      <c r="FA15" s="34"/>
      <c r="FB15" s="31"/>
      <c r="FC15" s="34"/>
      <c r="FD15" s="31" t="s">
        <v>484</v>
      </c>
      <c r="FE15" s="34"/>
      <c r="FF15" s="31"/>
      <c r="FG15" s="34"/>
      <c r="FH15" s="31"/>
      <c r="FI15" s="34" t="s">
        <v>354</v>
      </c>
      <c r="FJ15" s="31"/>
      <c r="FK15" s="34"/>
      <c r="FL15" s="31"/>
      <c r="FM15" s="34"/>
      <c r="FN15" s="31" t="s">
        <v>465</v>
      </c>
      <c r="FO15" s="34"/>
      <c r="FP15" s="31"/>
      <c r="FQ15" s="34"/>
      <c r="FR15" s="31"/>
      <c r="FS15" s="39"/>
      <c r="FT15" s="39"/>
      <c r="FU15" s="34"/>
      <c r="FV15" s="31"/>
      <c r="FW15" s="34"/>
      <c r="FX15" s="31"/>
      <c r="FY15" s="34"/>
      <c r="FZ15" s="31"/>
      <c r="GA15" s="34"/>
      <c r="GB15" s="31"/>
      <c r="GC15" s="34"/>
      <c r="GD15" s="31"/>
      <c r="GE15" s="34"/>
      <c r="GF15" s="31"/>
      <c r="GG15" s="34"/>
      <c r="GH15" s="31"/>
      <c r="GI15" s="34" t="s">
        <v>454</v>
      </c>
      <c r="GJ15" s="31"/>
      <c r="GK15" s="34"/>
      <c r="GL15" s="31"/>
      <c r="GM15" s="34" t="s">
        <v>501</v>
      </c>
      <c r="GN15" s="31"/>
      <c r="GO15" s="34"/>
      <c r="GP15" s="31"/>
      <c r="GQ15" s="34"/>
      <c r="GR15" s="31"/>
      <c r="GS15" s="34"/>
      <c r="GT15" s="31"/>
      <c r="GU15" s="34"/>
      <c r="GV15" s="31"/>
      <c r="GW15" s="34"/>
      <c r="GX15" s="31"/>
      <c r="GY15" s="34"/>
      <c r="GZ15" s="31"/>
      <c r="HA15" s="34"/>
      <c r="HB15" s="31"/>
      <c r="HC15" s="34"/>
      <c r="HD15" s="30" t="s">
        <v>102</v>
      </c>
      <c r="HE15" s="34" t="s">
        <v>901</v>
      </c>
      <c r="HF15" s="31"/>
      <c r="HG15" s="34"/>
      <c r="HH15" s="31"/>
      <c r="HI15" s="34"/>
      <c r="HJ15" s="31"/>
      <c r="HK15" s="34"/>
      <c r="HL15" s="31"/>
      <c r="HM15" s="34"/>
      <c r="HN15" s="31"/>
      <c r="HO15" s="34" t="s">
        <v>523</v>
      </c>
      <c r="HP15" s="31"/>
      <c r="HQ15" s="34"/>
      <c r="HR15" s="31"/>
      <c r="HS15" s="34" t="s">
        <v>195</v>
      </c>
      <c r="HT15" s="31"/>
      <c r="HU15" s="34"/>
      <c r="HV15" s="31"/>
      <c r="HW15" s="34"/>
      <c r="HX15" s="39" t="s">
        <v>163</v>
      </c>
      <c r="HY15" s="39" t="s">
        <v>877</v>
      </c>
      <c r="HZ15" s="31"/>
      <c r="IA15" s="34"/>
      <c r="IB15" s="31"/>
      <c r="IC15" s="34" t="s">
        <v>856</v>
      </c>
      <c r="ID15" s="31"/>
      <c r="IE15" s="34"/>
      <c r="IF15" s="31"/>
      <c r="IG15" s="34"/>
      <c r="IH15" s="31"/>
      <c r="II15" s="34"/>
      <c r="IJ15" s="31"/>
      <c r="IK15" s="34" t="s">
        <v>937</v>
      </c>
      <c r="IL15" s="31"/>
      <c r="IM15" s="34" t="s">
        <v>175</v>
      </c>
      <c r="IN15" s="31"/>
      <c r="IO15" s="34"/>
      <c r="IP15" s="31"/>
      <c r="IQ15" s="34"/>
      <c r="IR15" s="31"/>
      <c r="IS15" s="34"/>
      <c r="IT15" s="31"/>
      <c r="IU15" s="34"/>
      <c r="IV15" s="31"/>
      <c r="IW15" s="34"/>
      <c r="IX15" s="31"/>
      <c r="IY15" s="34"/>
      <c r="IZ15" s="31"/>
      <c r="JA15" s="34" t="s">
        <v>871</v>
      </c>
      <c r="JB15" s="36"/>
    </row>
    <row r="16" spans="1:262" ht="30" customHeight="1" x14ac:dyDescent="0.25">
      <c r="A16" s="26" t="s">
        <v>1249</v>
      </c>
      <c r="B16" s="48" t="str">
        <f t="shared" si="0"/>
        <v>1st Choice Development
A-1 Contractors Inc. dba A-1 Electric
Airsun
Alpha Energy Management, Inc.
AltSys Solar Incorporated
Ameresco Solar
Apollo Home Performance
Baker Electric
Blue Planet Water and Power Company
Bright Power
CalCom Energy
California Solar Integrators, Inc.
California State Development
CalSun Electric and Solar Systems, Inc.
Centrica Business Solutions
Climatec
Communication Infrastructure Corporation (CIC)
DC Solar Electric, Inc
EDF Renewables Distributed Solutions
Electro Thermal
Enel X North America
Energy Independence Group
Energy Options
Engie Services US
ForeFront Power
Freevolt
FreeVolt USA INC
Go Green Solar
Gold Rush Energy Solutions
Golden State Power
Green Water and Power
GRID Alternatives
GS Homes
Horizon Solar Power
Ilum Solar
Infinity Energy Inc
Kota Construction
Kuubix Energy, Inc.
LA Solar Group
LLUMETEC
Mack Electric/Gardner Energy
NRG Clean Power
Option One Solar
Pacific Rim ConstructioRAM SOLAR
Photon Brothers
Promise Energy Inc
Quality Home Services
Quantum Solar Designs, Inc.
REC Solar
Revel Energy
Sage Energy Consulting
Semper Solaris
Solar Gain West LLC
Solar Maintenance Pros
Solar Optimum Inc
Solar Pros Inc.
Solar Savings Direct
Solar Symphony Construction Inc
SolTek Industries Inc.
Spreck Energy
Stem, Inc.
Stronghold Engineering
Sunnova Energy
SunPower by Quality Home Services
SunPower Corporation
Sunstreet
Sunterra Solar Inc
Sunworks
Swell Energy
Trinity Power
V3 Electric Inc
Valley Unique Electric, Inc.
Vivint Solar
Xnergy
Your Energy Source (YES)</v>
      </c>
      <c r="C16" s="29" t="s">
        <v>857</v>
      </c>
      <c r="D16" s="31"/>
      <c r="E16" s="33" t="s">
        <v>240</v>
      </c>
      <c r="F16" s="31"/>
      <c r="G16" s="34"/>
      <c r="H16" s="31"/>
      <c r="I16" s="34"/>
      <c r="J16" s="31" t="s">
        <v>907</v>
      </c>
      <c r="K16" s="34"/>
      <c r="L16" s="31"/>
      <c r="M16" s="34"/>
      <c r="N16" s="30" t="s">
        <v>1295</v>
      </c>
      <c r="O16" s="34"/>
      <c r="P16" s="31"/>
      <c r="Q16" s="34" t="s">
        <v>881</v>
      </c>
      <c r="R16" s="31"/>
      <c r="S16" s="34"/>
      <c r="T16" s="31" t="s">
        <v>427</v>
      </c>
      <c r="U16" s="34" t="s">
        <v>915</v>
      </c>
      <c r="V16" s="31"/>
      <c r="W16" s="34"/>
      <c r="X16" s="31"/>
      <c r="Y16" s="34"/>
      <c r="Z16" s="31" t="s">
        <v>883</v>
      </c>
      <c r="AA16" s="34"/>
      <c r="AB16" s="31"/>
      <c r="AC16" s="34"/>
      <c r="AD16" s="31"/>
      <c r="AE16" s="34" t="s">
        <v>943</v>
      </c>
      <c r="AF16" s="31"/>
      <c r="AG16" s="34"/>
      <c r="AH16" s="31"/>
      <c r="AI16" s="34" t="s">
        <v>202</v>
      </c>
      <c r="AJ16" s="31"/>
      <c r="AK16" s="34"/>
      <c r="AL16" s="31" t="s">
        <v>217</v>
      </c>
      <c r="AM16" s="34"/>
      <c r="AN16" s="31"/>
      <c r="AO16" s="34" t="s">
        <v>497</v>
      </c>
      <c r="AP16" s="31" t="s">
        <v>1231</v>
      </c>
      <c r="AQ16" s="34" t="s">
        <v>926</v>
      </c>
      <c r="AR16" s="31"/>
      <c r="AS16" s="34" t="s">
        <v>60</v>
      </c>
      <c r="AT16" s="31"/>
      <c r="AU16" s="34"/>
      <c r="AV16" s="31"/>
      <c r="AW16" s="34"/>
      <c r="AX16" s="31"/>
      <c r="AY16" s="34"/>
      <c r="AZ16" s="31"/>
      <c r="BA16" s="34" t="s">
        <v>351</v>
      </c>
      <c r="BB16" s="31"/>
      <c r="BC16" s="34"/>
      <c r="BD16" s="31"/>
      <c r="BE16" s="34" t="s">
        <v>1215</v>
      </c>
      <c r="BF16" s="31"/>
      <c r="BG16" s="34"/>
      <c r="BH16" s="31"/>
      <c r="BI16" s="34"/>
      <c r="BJ16" s="31" t="s">
        <v>321</v>
      </c>
      <c r="BK16" s="34"/>
      <c r="BL16" s="31"/>
      <c r="BM16" s="34"/>
      <c r="BN16" s="31"/>
      <c r="BO16" s="34"/>
      <c r="BP16" s="31"/>
      <c r="BQ16" s="34" t="s">
        <v>391</v>
      </c>
      <c r="BR16" s="31"/>
      <c r="BS16" s="34" t="s">
        <v>872</v>
      </c>
      <c r="BT16" s="31"/>
      <c r="BU16" s="34"/>
      <c r="BV16" s="31"/>
      <c r="BW16" s="34" t="s">
        <v>532</v>
      </c>
      <c r="BX16" s="31" t="s">
        <v>280</v>
      </c>
      <c r="BY16" s="34"/>
      <c r="BZ16" s="31" t="s">
        <v>896</v>
      </c>
      <c r="CA16" s="34" t="s">
        <v>853</v>
      </c>
      <c r="CB16" s="31"/>
      <c r="CC16" s="34"/>
      <c r="CD16" s="31"/>
      <c r="CE16" s="34" t="s">
        <v>275</v>
      </c>
      <c r="CF16" s="31" t="s">
        <v>253</v>
      </c>
      <c r="CG16" s="34" t="s">
        <v>327</v>
      </c>
      <c r="CH16" s="31"/>
      <c r="CI16" s="34"/>
      <c r="CJ16" s="31"/>
      <c r="CK16" s="34"/>
      <c r="CL16" s="31" t="s">
        <v>417</v>
      </c>
      <c r="CM16" s="34"/>
      <c r="CN16" s="31" t="s">
        <v>487</v>
      </c>
      <c r="CO16" s="34"/>
      <c r="CP16" s="31" t="s">
        <v>296</v>
      </c>
      <c r="CQ16" s="34"/>
      <c r="CR16" s="31"/>
      <c r="CS16" s="34" t="s">
        <v>892</v>
      </c>
      <c r="CT16" s="31"/>
      <c r="CU16" s="34" t="s">
        <v>99</v>
      </c>
      <c r="CV16" s="31" t="s">
        <v>852</v>
      </c>
      <c r="CW16" s="34"/>
      <c r="CX16" s="31"/>
      <c r="CY16" s="34"/>
      <c r="CZ16" s="31"/>
      <c r="DA16" s="34"/>
      <c r="DB16" s="31"/>
      <c r="DC16" s="34"/>
      <c r="DD16" s="31"/>
      <c r="DE16" s="34" t="s">
        <v>134</v>
      </c>
      <c r="DF16" s="31"/>
      <c r="DG16" s="34"/>
      <c r="DH16" s="31"/>
      <c r="DI16" s="34"/>
      <c r="DJ16" s="31" t="s">
        <v>272</v>
      </c>
      <c r="DK16" s="34"/>
      <c r="DL16" s="31" t="s">
        <v>428</v>
      </c>
      <c r="DM16" s="34"/>
      <c r="DN16" s="31"/>
      <c r="DO16" s="34"/>
      <c r="DP16" s="31"/>
      <c r="DQ16" s="34"/>
      <c r="DR16" s="31"/>
      <c r="DS16" s="34"/>
      <c r="DT16" s="31"/>
      <c r="DU16" s="34" t="s">
        <v>267</v>
      </c>
      <c r="DV16" s="31" t="s">
        <v>109</v>
      </c>
      <c r="DW16" s="34" t="s">
        <v>895</v>
      </c>
      <c r="DX16" s="31"/>
      <c r="DY16" s="34"/>
      <c r="DZ16" s="31"/>
      <c r="EA16" s="34" t="s">
        <v>595</v>
      </c>
      <c r="EB16" s="31"/>
      <c r="EC16" s="34"/>
      <c r="ED16" s="31"/>
      <c r="EE16" s="34" t="s">
        <v>83</v>
      </c>
      <c r="EF16" s="31"/>
      <c r="EG16" s="34"/>
      <c r="EH16" s="31"/>
      <c r="EI16" s="34"/>
      <c r="EJ16" s="31"/>
      <c r="EK16" s="34"/>
      <c r="EL16" s="31"/>
      <c r="EM16" s="34"/>
      <c r="EN16" s="31"/>
      <c r="EO16" s="34"/>
      <c r="EP16" s="31"/>
      <c r="EQ16" s="34"/>
      <c r="ER16" s="31"/>
      <c r="ES16" s="34" t="s">
        <v>935</v>
      </c>
      <c r="ET16" s="31"/>
      <c r="EU16" s="34" t="s">
        <v>264</v>
      </c>
      <c r="EV16" s="31"/>
      <c r="EW16" s="34" t="s">
        <v>983</v>
      </c>
      <c r="EX16" s="31"/>
      <c r="EY16" s="34"/>
      <c r="EZ16" s="31"/>
      <c r="FA16" s="34"/>
      <c r="FB16" s="31" t="s">
        <v>921</v>
      </c>
      <c r="FC16" s="34"/>
      <c r="FD16" s="31" t="s">
        <v>484</v>
      </c>
      <c r="FE16" s="34"/>
      <c r="FF16" s="31" t="s">
        <v>439</v>
      </c>
      <c r="FG16" s="34" t="s">
        <v>541</v>
      </c>
      <c r="FH16" s="31"/>
      <c r="FI16" s="34" t="s">
        <v>354</v>
      </c>
      <c r="FJ16" s="31"/>
      <c r="FK16" s="34" t="s">
        <v>341</v>
      </c>
      <c r="FL16" s="31"/>
      <c r="FM16" s="34"/>
      <c r="FN16" s="31" t="s">
        <v>465</v>
      </c>
      <c r="FO16" s="34"/>
      <c r="FP16" s="31"/>
      <c r="FQ16" s="34"/>
      <c r="FR16" s="31"/>
      <c r="FS16" s="39"/>
      <c r="FT16" s="39"/>
      <c r="FU16" s="34" t="s">
        <v>630</v>
      </c>
      <c r="FV16" s="31"/>
      <c r="FW16" s="34"/>
      <c r="FX16" s="31"/>
      <c r="FY16" s="34"/>
      <c r="FZ16" s="31"/>
      <c r="GA16" s="34"/>
      <c r="GB16" s="31"/>
      <c r="GC16" s="34"/>
      <c r="GD16" s="31"/>
      <c r="GE16" s="34"/>
      <c r="GF16" s="31"/>
      <c r="GG16" s="34"/>
      <c r="GH16" s="31"/>
      <c r="GI16" s="34" t="s">
        <v>454</v>
      </c>
      <c r="GJ16" s="31"/>
      <c r="GK16" s="34" t="s">
        <v>953</v>
      </c>
      <c r="GL16" s="31" t="s">
        <v>106</v>
      </c>
      <c r="GM16" s="34" t="s">
        <v>501</v>
      </c>
      <c r="GN16" s="31"/>
      <c r="GO16" s="34" t="s">
        <v>96</v>
      </c>
      <c r="GP16" s="31"/>
      <c r="GQ16" s="34" t="s">
        <v>244</v>
      </c>
      <c r="GR16" s="31"/>
      <c r="GS16" s="34"/>
      <c r="GT16" s="31"/>
      <c r="GU16" s="34"/>
      <c r="GV16" s="31"/>
      <c r="GW16" s="34"/>
      <c r="GX16" s="31" t="s">
        <v>950</v>
      </c>
      <c r="GY16" s="34"/>
      <c r="GZ16" s="31" t="s">
        <v>894</v>
      </c>
      <c r="HA16" s="34"/>
      <c r="HB16" s="31"/>
      <c r="HC16" s="34"/>
      <c r="HD16" s="30" t="s">
        <v>102</v>
      </c>
      <c r="HE16" s="34" t="s">
        <v>901</v>
      </c>
      <c r="HF16" s="31"/>
      <c r="HG16" s="34"/>
      <c r="HH16" s="31"/>
      <c r="HI16" s="34"/>
      <c r="HJ16" s="31"/>
      <c r="HK16" s="34"/>
      <c r="HL16" s="31"/>
      <c r="HM16" s="34"/>
      <c r="HN16" s="31"/>
      <c r="HO16" s="34" t="s">
        <v>523</v>
      </c>
      <c r="HP16" s="31"/>
      <c r="HQ16" s="34"/>
      <c r="HR16" s="31" t="s">
        <v>1302</v>
      </c>
      <c r="HS16" s="34" t="s">
        <v>195</v>
      </c>
      <c r="HT16" s="31"/>
      <c r="HU16" s="34"/>
      <c r="HV16" s="31" t="s">
        <v>370</v>
      </c>
      <c r="HW16" s="34"/>
      <c r="HX16" s="39" t="s">
        <v>163</v>
      </c>
      <c r="HY16" s="39" t="s">
        <v>877</v>
      </c>
      <c r="HZ16" s="31"/>
      <c r="IA16" s="34"/>
      <c r="IB16" s="31"/>
      <c r="IC16" s="34" t="s">
        <v>856</v>
      </c>
      <c r="ID16" s="31"/>
      <c r="IE16" s="34"/>
      <c r="IF16" s="31"/>
      <c r="IG16" s="34"/>
      <c r="IH16" s="31"/>
      <c r="II16" s="34"/>
      <c r="IJ16" s="31"/>
      <c r="IK16" s="34" t="s">
        <v>937</v>
      </c>
      <c r="IL16" s="31"/>
      <c r="IM16" s="34" t="s">
        <v>175</v>
      </c>
      <c r="IN16" s="31" t="s">
        <v>884</v>
      </c>
      <c r="IO16" s="34"/>
      <c r="IP16" s="31" t="s">
        <v>45</v>
      </c>
      <c r="IQ16" s="34"/>
      <c r="IR16" s="31"/>
      <c r="IS16" s="34"/>
      <c r="IT16" s="31"/>
      <c r="IU16" s="34"/>
      <c r="IV16" s="31"/>
      <c r="IW16" s="34"/>
      <c r="IX16" s="31"/>
      <c r="IY16" s="34" t="s">
        <v>902</v>
      </c>
      <c r="IZ16" s="31"/>
      <c r="JA16" s="34" t="s">
        <v>871</v>
      </c>
      <c r="JB16" s="36"/>
    </row>
    <row r="17" spans="1:262" ht="30" customHeight="1" x14ac:dyDescent="0.25">
      <c r="A17" s="27" t="s">
        <v>1250</v>
      </c>
      <c r="B17" s="48" t="str">
        <f t="shared" si="0"/>
        <v>1st Choice Development
A-1 Contractors Inc. dba A-1 Electric
Airsun
Alpha Energy Management, Inc.
AltSys Solar Incorporated
Apollo Home Performance
Baker Electric
Blue Planet Water and Power Company
Bright Power
CalCom Energy
California Solar Integrators, Inc.
California State Development
Centrica Business Solutions
Climatec
Communication Infrastructure Corporation (CIC)
DC Solar Electric, Inc
Donald P. Dick Air Conditioning
EDF Renewables Distributed Solutions
Enel X North America
Energy Independence Group
Engie Services US
ForeFront Power
Gold Rush Energy Solutions
Golden State Power
Green Water and Power
GRID Alternatives
GS Homes
Horizon Solar Power
Ilum Solar
Infinity Energy Inc
Kota Construction
Kuubix Energy, Inc.
LA Solar Group
LLUMETEC
Mack Electric/Gardner Energy
NRG Clean Power
Pacific Rim ConstructioRAM SOLAR
Photon Brothers
Promise Energy Inc
Quality Home Services
REC Solar
Sage Energy Consulting
Semper Solaris
Solar Gain West LLC
Solar Maintenance Pros
Solar Optimum Inc
Solar Pros Inc.
Solar Symphony Construction Inc
SolTek Industries Inc.
Spreck Energy
Stem, Inc.
Stronghold Engineering
Sunnova Energy
SunPower by Quality Home Services
SunPower Corporation
Sunterra Solar Inc
Sunworks
Swell Energy
Trinity Power
V3 Electric Inc
Vivint Solar
Your Energy Source (YES)</v>
      </c>
      <c r="C17" s="29" t="s">
        <v>857</v>
      </c>
      <c r="D17" s="31"/>
      <c r="E17" s="33" t="s">
        <v>240</v>
      </c>
      <c r="F17" s="31"/>
      <c r="G17" s="34"/>
      <c r="H17" s="31"/>
      <c r="I17" s="34"/>
      <c r="J17" s="31" t="s">
        <v>907</v>
      </c>
      <c r="K17" s="34"/>
      <c r="L17" s="31"/>
      <c r="M17" s="34"/>
      <c r="N17" s="30" t="s">
        <v>1295</v>
      </c>
      <c r="O17" s="34"/>
      <c r="P17" s="31"/>
      <c r="Q17" s="34" t="s">
        <v>881</v>
      </c>
      <c r="R17" s="31"/>
      <c r="S17" s="34"/>
      <c r="T17" s="31"/>
      <c r="U17" s="34" t="s">
        <v>915</v>
      </c>
      <c r="V17" s="31"/>
      <c r="W17" s="34"/>
      <c r="X17" s="31"/>
      <c r="Y17" s="34"/>
      <c r="Z17" s="31" t="s">
        <v>883</v>
      </c>
      <c r="AA17" s="34"/>
      <c r="AB17" s="31"/>
      <c r="AC17" s="34"/>
      <c r="AD17" s="31"/>
      <c r="AE17" s="34" t="s">
        <v>943</v>
      </c>
      <c r="AF17" s="31"/>
      <c r="AG17" s="34"/>
      <c r="AH17" s="31"/>
      <c r="AI17" s="34" t="s">
        <v>202</v>
      </c>
      <c r="AJ17" s="31"/>
      <c r="AK17" s="34"/>
      <c r="AL17" s="31" t="s">
        <v>217</v>
      </c>
      <c r="AM17" s="34"/>
      <c r="AN17" s="31"/>
      <c r="AO17" s="34" t="s">
        <v>497</v>
      </c>
      <c r="AP17" s="31" t="s">
        <v>1231</v>
      </c>
      <c r="AQ17" s="34"/>
      <c r="AR17" s="31"/>
      <c r="AS17" s="34" t="s">
        <v>60</v>
      </c>
      <c r="AT17" s="31"/>
      <c r="AU17" s="34"/>
      <c r="AV17" s="31"/>
      <c r="AW17" s="34"/>
      <c r="AX17" s="31"/>
      <c r="AY17" s="34"/>
      <c r="AZ17" s="31"/>
      <c r="BA17" s="34" t="s">
        <v>351</v>
      </c>
      <c r="BB17" s="31"/>
      <c r="BC17" s="34"/>
      <c r="BD17" s="31"/>
      <c r="BE17" s="34" t="s">
        <v>1215</v>
      </c>
      <c r="BF17" s="31"/>
      <c r="BG17" s="34"/>
      <c r="BH17" s="31"/>
      <c r="BI17" s="34"/>
      <c r="BJ17" s="31" t="s">
        <v>321</v>
      </c>
      <c r="BK17" s="34"/>
      <c r="BL17" s="31" t="s">
        <v>888</v>
      </c>
      <c r="BM17" s="34"/>
      <c r="BN17" s="31"/>
      <c r="BO17" s="34"/>
      <c r="BP17" s="31"/>
      <c r="BQ17" s="34" t="s">
        <v>391</v>
      </c>
      <c r="BR17" s="31"/>
      <c r="BS17" s="34"/>
      <c r="BT17" s="31"/>
      <c r="BU17" s="34"/>
      <c r="BV17" s="31"/>
      <c r="BW17" s="34" t="s">
        <v>532</v>
      </c>
      <c r="BX17" s="31" t="s">
        <v>280</v>
      </c>
      <c r="BY17" s="34"/>
      <c r="BZ17" s="31"/>
      <c r="CA17" s="34" t="s">
        <v>853</v>
      </c>
      <c r="CB17" s="31"/>
      <c r="CC17" s="34"/>
      <c r="CD17" s="31"/>
      <c r="CE17" s="34" t="s">
        <v>275</v>
      </c>
      <c r="CF17" s="31"/>
      <c r="CG17" s="34"/>
      <c r="CH17" s="31"/>
      <c r="CI17" s="34"/>
      <c r="CJ17" s="31"/>
      <c r="CK17" s="34"/>
      <c r="CL17" s="31"/>
      <c r="CM17" s="34"/>
      <c r="CN17" s="31" t="s">
        <v>487</v>
      </c>
      <c r="CO17" s="34"/>
      <c r="CP17" s="31" t="s">
        <v>296</v>
      </c>
      <c r="CQ17" s="34"/>
      <c r="CR17" s="31"/>
      <c r="CS17" s="34" t="s">
        <v>892</v>
      </c>
      <c r="CT17" s="31"/>
      <c r="CU17" s="34" t="s">
        <v>99</v>
      </c>
      <c r="CV17" s="31" t="s">
        <v>852</v>
      </c>
      <c r="CW17" s="34"/>
      <c r="CX17" s="31"/>
      <c r="CY17" s="34"/>
      <c r="CZ17" s="31"/>
      <c r="DA17" s="34"/>
      <c r="DB17" s="31"/>
      <c r="DC17" s="34"/>
      <c r="DD17" s="31"/>
      <c r="DE17" s="34" t="s">
        <v>134</v>
      </c>
      <c r="DF17" s="31"/>
      <c r="DG17" s="34"/>
      <c r="DH17" s="31"/>
      <c r="DI17" s="34"/>
      <c r="DJ17" s="31" t="s">
        <v>272</v>
      </c>
      <c r="DK17" s="34"/>
      <c r="DL17" s="31" t="s">
        <v>428</v>
      </c>
      <c r="DM17" s="34"/>
      <c r="DN17" s="31"/>
      <c r="DO17" s="34"/>
      <c r="DP17" s="31"/>
      <c r="DQ17" s="34"/>
      <c r="DR17" s="31"/>
      <c r="DS17" s="34"/>
      <c r="DT17" s="31"/>
      <c r="DU17" s="34" t="s">
        <v>267</v>
      </c>
      <c r="DV17" s="31" t="s">
        <v>109</v>
      </c>
      <c r="DW17" s="34" t="s">
        <v>895</v>
      </c>
      <c r="DX17" s="31"/>
      <c r="DY17" s="34"/>
      <c r="DZ17" s="31"/>
      <c r="EA17" s="34" t="s">
        <v>595</v>
      </c>
      <c r="EB17" s="31"/>
      <c r="EC17" s="34"/>
      <c r="ED17" s="31"/>
      <c r="EE17" s="34" t="s">
        <v>83</v>
      </c>
      <c r="EF17" s="31"/>
      <c r="EG17" s="34"/>
      <c r="EH17" s="31"/>
      <c r="EI17" s="34"/>
      <c r="EJ17" s="31"/>
      <c r="EK17" s="34"/>
      <c r="EL17" s="31"/>
      <c r="EM17" s="34"/>
      <c r="EN17" s="31"/>
      <c r="EO17" s="34"/>
      <c r="EP17" s="31"/>
      <c r="EQ17" s="34"/>
      <c r="ER17" s="31"/>
      <c r="ES17" s="34" t="s">
        <v>935</v>
      </c>
      <c r="ET17" s="31"/>
      <c r="EU17" s="34"/>
      <c r="EV17" s="31"/>
      <c r="EW17" s="34" t="s">
        <v>983</v>
      </c>
      <c r="EX17" s="31"/>
      <c r="EY17" s="34"/>
      <c r="EZ17" s="31"/>
      <c r="FA17" s="34"/>
      <c r="FB17" s="31" t="s">
        <v>921</v>
      </c>
      <c r="FC17" s="34"/>
      <c r="FD17" s="31" t="s">
        <v>484</v>
      </c>
      <c r="FE17" s="34"/>
      <c r="FF17" s="31" t="s">
        <v>439</v>
      </c>
      <c r="FG17" s="34"/>
      <c r="FH17" s="31"/>
      <c r="FI17" s="34" t="s">
        <v>354</v>
      </c>
      <c r="FJ17" s="31"/>
      <c r="FK17" s="34"/>
      <c r="FL17" s="31"/>
      <c r="FM17" s="34"/>
      <c r="FN17" s="31" t="s">
        <v>465</v>
      </c>
      <c r="FO17" s="34"/>
      <c r="FP17" s="31"/>
      <c r="FQ17" s="34"/>
      <c r="FR17" s="31"/>
      <c r="FS17" s="39"/>
      <c r="FT17" s="39"/>
      <c r="FU17" s="34" t="s">
        <v>630</v>
      </c>
      <c r="FV17" s="31"/>
      <c r="FW17" s="34"/>
      <c r="FX17" s="31"/>
      <c r="FY17" s="34"/>
      <c r="FZ17" s="31"/>
      <c r="GA17" s="34"/>
      <c r="GB17" s="31"/>
      <c r="GC17" s="34"/>
      <c r="GD17" s="31"/>
      <c r="GE17" s="34"/>
      <c r="GF17" s="31"/>
      <c r="GG17" s="34"/>
      <c r="GH17" s="31"/>
      <c r="GI17" s="34" t="s">
        <v>454</v>
      </c>
      <c r="GJ17" s="31"/>
      <c r="GK17" s="34" t="s">
        <v>953</v>
      </c>
      <c r="GL17" s="31" t="s">
        <v>106</v>
      </c>
      <c r="GM17" s="34" t="s">
        <v>501</v>
      </c>
      <c r="GN17" s="31"/>
      <c r="GO17" s="34"/>
      <c r="GP17" s="31"/>
      <c r="GQ17" s="34" t="s">
        <v>244</v>
      </c>
      <c r="GR17" s="31"/>
      <c r="GS17" s="34"/>
      <c r="GT17" s="31"/>
      <c r="GU17" s="34"/>
      <c r="GV17" s="31"/>
      <c r="GW17" s="34"/>
      <c r="GX17" s="31" t="s">
        <v>950</v>
      </c>
      <c r="GY17" s="34"/>
      <c r="GZ17" s="31" t="s">
        <v>894</v>
      </c>
      <c r="HA17" s="34"/>
      <c r="HB17" s="31"/>
      <c r="HC17" s="34"/>
      <c r="HD17" s="30" t="s">
        <v>102</v>
      </c>
      <c r="HE17" s="34" t="s">
        <v>901</v>
      </c>
      <c r="HF17" s="31"/>
      <c r="HG17" s="34"/>
      <c r="HH17" s="31"/>
      <c r="HI17" s="34"/>
      <c r="HJ17" s="31"/>
      <c r="HK17" s="34"/>
      <c r="HL17" s="31"/>
      <c r="HM17" s="34"/>
      <c r="HN17" s="31"/>
      <c r="HO17" s="34" t="s">
        <v>523</v>
      </c>
      <c r="HP17" s="31"/>
      <c r="HQ17" s="34"/>
      <c r="HR17" s="31" t="s">
        <v>1302</v>
      </c>
      <c r="HS17" s="34" t="s">
        <v>195</v>
      </c>
      <c r="HT17" s="31"/>
      <c r="HU17" s="34"/>
      <c r="HV17" s="31"/>
      <c r="HW17" s="34"/>
      <c r="HX17" s="39" t="s">
        <v>163</v>
      </c>
      <c r="HY17" s="39" t="s">
        <v>877</v>
      </c>
      <c r="HZ17" s="31"/>
      <c r="IA17" s="34"/>
      <c r="IB17" s="31"/>
      <c r="IC17" s="34" t="s">
        <v>856</v>
      </c>
      <c r="ID17" s="31"/>
      <c r="IE17" s="34"/>
      <c r="IF17" s="31"/>
      <c r="IG17" s="34"/>
      <c r="IH17" s="31"/>
      <c r="II17" s="34"/>
      <c r="IJ17" s="31"/>
      <c r="IK17" s="34" t="s">
        <v>937</v>
      </c>
      <c r="IL17" s="31"/>
      <c r="IM17" s="34" t="s">
        <v>175</v>
      </c>
      <c r="IN17" s="31"/>
      <c r="IO17" s="34"/>
      <c r="IP17" s="31" t="s">
        <v>45</v>
      </c>
      <c r="IQ17" s="34"/>
      <c r="IR17" s="31"/>
      <c r="IS17" s="34"/>
      <c r="IT17" s="31"/>
      <c r="IU17" s="34"/>
      <c r="IV17" s="31"/>
      <c r="IW17" s="34"/>
      <c r="IX17" s="31"/>
      <c r="IY17" s="34"/>
      <c r="IZ17" s="31"/>
      <c r="JA17" s="34" t="s">
        <v>871</v>
      </c>
      <c r="JB17" s="36"/>
    </row>
    <row r="18" spans="1:262" ht="30" customHeight="1" x14ac:dyDescent="0.25">
      <c r="A18" s="26" t="s">
        <v>1251</v>
      </c>
      <c r="B18" s="48" t="str">
        <f t="shared" si="0"/>
        <v>1st Choice Development
Advanced Alternative Energy Solutions
Alpha Energy Management, Inc.
Apollo Home Performance
Lake
Bright Power
California Solar Integrators, Inc.
California State Development
Centrica Business Solutions
Chico Electric
Citadel Roofing &amp; Solar
Climatec
Corona Solar
DC Solar Electric, Inc
EDF Renewables Distributed Solutions
Enable Energy, Inc.
Enel X North America
Energy Independence Group
Engie Services US
ForeFront Power
Fresh Energy Systems
Gold Rush Energy Solutions
Green Water and Power
GRID Alternatives
GS Homes
Horizon Solar Power
Ilum Solar
Infinity Energy Inc
Innovative Energy Systems (IES)
J&amp;J Electric DBA Vital Energy Solutions, LLC
Jonas Energy Solutions
Klein Power Electric
Kota Construction
Kuubix Energy, Inc.
LA Solar Group
LLUMETEC
Mack Electric/Gardner Energy
Mei renewables Inc
MEI Renewables, Inc.
Michael &amp; Sun Solar Inc
NRG Clean Power
Pacific Rim ConstructioRAM SOLAR
Promise Energy Inc
Pure Power Solutions
Radiant Solar Technology
REC Solar
Sage Energy Consulting
Solar Gain West LLC
Solar Pros Inc.
Solar Savings Direct
Spreck Energy
Starseed Electric
Stem, Inc.
Stronghold Engineering
Sunnova Energy
Sunon energy corporation
SunPower Corporation
SunStor
Sunterra Solar Inc
Sunworks
Swell Energy
Symmetric Energy / Solar Winds Energy
V3 Electric Inc
Vivint Solar</v>
      </c>
      <c r="C18" s="29" t="s">
        <v>857</v>
      </c>
      <c r="D18" s="31"/>
      <c r="E18" s="34"/>
      <c r="F18" s="31"/>
      <c r="G18" s="34"/>
      <c r="H18" s="31" t="s">
        <v>71</v>
      </c>
      <c r="I18" s="34"/>
      <c r="J18" s="31"/>
      <c r="K18" s="34"/>
      <c r="L18" s="31"/>
      <c r="M18" s="34"/>
      <c r="N18" s="30" t="s">
        <v>1295</v>
      </c>
      <c r="O18" s="34"/>
      <c r="P18" s="31"/>
      <c r="Q18" s="34"/>
      <c r="R18" s="31"/>
      <c r="S18" s="34"/>
      <c r="T18" s="31"/>
      <c r="U18" s="34" t="s">
        <v>915</v>
      </c>
      <c r="V18" s="31" t="s">
        <v>1251</v>
      </c>
      <c r="W18" s="34"/>
      <c r="X18" s="31"/>
      <c r="Y18" s="34"/>
      <c r="Z18" s="31"/>
      <c r="AA18" s="34"/>
      <c r="AB18" s="31"/>
      <c r="AC18" s="34"/>
      <c r="AD18" s="31"/>
      <c r="AE18" s="34"/>
      <c r="AF18" s="31"/>
      <c r="AG18" s="34"/>
      <c r="AH18" s="31"/>
      <c r="AI18" s="34" t="s">
        <v>202</v>
      </c>
      <c r="AJ18" s="31"/>
      <c r="AK18" s="34"/>
      <c r="AL18" s="31"/>
      <c r="AM18" s="34"/>
      <c r="AN18" s="31"/>
      <c r="AO18" s="34" t="s">
        <v>497</v>
      </c>
      <c r="AP18" s="31" t="s">
        <v>1231</v>
      </c>
      <c r="AQ18" s="34"/>
      <c r="AR18" s="31"/>
      <c r="AS18" s="34" t="s">
        <v>60</v>
      </c>
      <c r="AT18" s="31" t="s">
        <v>205</v>
      </c>
      <c r="AU18" s="34"/>
      <c r="AV18" s="31" t="s">
        <v>199</v>
      </c>
      <c r="AW18" s="34"/>
      <c r="AX18" s="31"/>
      <c r="AY18" s="34"/>
      <c r="AZ18" s="31"/>
      <c r="BA18" s="34" t="s">
        <v>351</v>
      </c>
      <c r="BB18" s="31"/>
      <c r="BC18" s="34"/>
      <c r="BD18" s="31"/>
      <c r="BE18" s="34"/>
      <c r="BF18" s="31"/>
      <c r="BG18" s="34" t="s">
        <v>911</v>
      </c>
      <c r="BH18" s="31"/>
      <c r="BI18" s="34"/>
      <c r="BJ18" s="31" t="s">
        <v>321</v>
      </c>
      <c r="BK18" s="34"/>
      <c r="BL18" s="31"/>
      <c r="BM18" s="34"/>
      <c r="BN18" s="31"/>
      <c r="BO18" s="34"/>
      <c r="BP18" s="31"/>
      <c r="BQ18" s="34" t="s">
        <v>391</v>
      </c>
      <c r="BR18" s="31"/>
      <c r="BS18" s="34"/>
      <c r="BT18" s="31"/>
      <c r="BU18" s="34"/>
      <c r="BV18" s="31" t="s">
        <v>330</v>
      </c>
      <c r="BW18" s="34" t="s">
        <v>532</v>
      </c>
      <c r="BX18" s="31" t="s">
        <v>280</v>
      </c>
      <c r="BY18" s="34"/>
      <c r="BZ18" s="31"/>
      <c r="CA18" s="34" t="s">
        <v>853</v>
      </c>
      <c r="CB18" s="31"/>
      <c r="CC18" s="34"/>
      <c r="CD18" s="31"/>
      <c r="CE18" s="34" t="s">
        <v>275</v>
      </c>
      <c r="CF18" s="31"/>
      <c r="CG18" s="34"/>
      <c r="CH18" s="31"/>
      <c r="CI18" s="34" t="s">
        <v>876</v>
      </c>
      <c r="CJ18" s="31"/>
      <c r="CK18" s="34"/>
      <c r="CL18" s="31"/>
      <c r="CM18" s="34"/>
      <c r="CN18" s="31" t="s">
        <v>487</v>
      </c>
      <c r="CO18" s="34"/>
      <c r="CP18" s="31"/>
      <c r="CQ18" s="34"/>
      <c r="CR18" s="31"/>
      <c r="CS18" s="34" t="s">
        <v>892</v>
      </c>
      <c r="CT18" s="31"/>
      <c r="CU18" s="34" t="s">
        <v>99</v>
      </c>
      <c r="CV18" s="31" t="s">
        <v>852</v>
      </c>
      <c r="CW18" s="34"/>
      <c r="CX18" s="31"/>
      <c r="CY18" s="34"/>
      <c r="CZ18" s="31"/>
      <c r="DA18" s="34"/>
      <c r="DB18" s="31"/>
      <c r="DC18" s="34"/>
      <c r="DD18" s="31"/>
      <c r="DE18" s="34" t="s">
        <v>134</v>
      </c>
      <c r="DF18" s="31"/>
      <c r="DG18" s="34"/>
      <c r="DH18" s="31"/>
      <c r="DI18" s="34"/>
      <c r="DJ18" s="31" t="s">
        <v>272</v>
      </c>
      <c r="DK18" s="34"/>
      <c r="DL18" s="31" t="s">
        <v>428</v>
      </c>
      <c r="DM18" s="34"/>
      <c r="DN18" s="31" t="s">
        <v>868</v>
      </c>
      <c r="DO18" s="34" t="s">
        <v>234</v>
      </c>
      <c r="DP18" s="31"/>
      <c r="DQ18" s="34"/>
      <c r="DR18" s="31" t="s">
        <v>908</v>
      </c>
      <c r="DS18" s="34"/>
      <c r="DT18" s="31" t="s">
        <v>41</v>
      </c>
      <c r="DU18" s="34" t="s">
        <v>267</v>
      </c>
      <c r="DV18" s="31" t="s">
        <v>109</v>
      </c>
      <c r="DW18" s="34" t="s">
        <v>895</v>
      </c>
      <c r="DX18" s="31"/>
      <c r="DY18" s="34"/>
      <c r="DZ18" s="31"/>
      <c r="EA18" s="34" t="s">
        <v>595</v>
      </c>
      <c r="EB18" s="31"/>
      <c r="EC18" s="34"/>
      <c r="ED18" s="31"/>
      <c r="EE18" s="34" t="s">
        <v>83</v>
      </c>
      <c r="EF18" s="31" t="s">
        <v>357</v>
      </c>
      <c r="EG18" s="34" t="s">
        <v>413</v>
      </c>
      <c r="EH18" s="31" t="s">
        <v>250</v>
      </c>
      <c r="EI18" s="34"/>
      <c r="EJ18" s="31"/>
      <c r="EK18" s="34"/>
      <c r="EL18" s="31"/>
      <c r="EM18" s="34"/>
      <c r="EN18" s="31"/>
      <c r="EO18" s="34"/>
      <c r="EP18" s="31"/>
      <c r="EQ18" s="34"/>
      <c r="ER18" s="31"/>
      <c r="ES18" s="34" t="s">
        <v>935</v>
      </c>
      <c r="ET18" s="31"/>
      <c r="EU18" s="34"/>
      <c r="EV18" s="31"/>
      <c r="EW18" s="34" t="s">
        <v>983</v>
      </c>
      <c r="EX18" s="31"/>
      <c r="EY18" s="34"/>
      <c r="EZ18" s="31"/>
      <c r="FA18" s="34"/>
      <c r="FB18" s="31"/>
      <c r="FC18" s="34"/>
      <c r="FD18" s="31" t="s">
        <v>484</v>
      </c>
      <c r="FE18" s="34" t="s">
        <v>909</v>
      </c>
      <c r="FF18" s="31"/>
      <c r="FG18" s="34"/>
      <c r="FH18" s="31" t="s">
        <v>423</v>
      </c>
      <c r="FI18" s="34" t="s">
        <v>354</v>
      </c>
      <c r="FJ18" s="31"/>
      <c r="FK18" s="34"/>
      <c r="FL18" s="31"/>
      <c r="FM18" s="34"/>
      <c r="FN18" s="31" t="s">
        <v>465</v>
      </c>
      <c r="FO18" s="34"/>
      <c r="FP18" s="31"/>
      <c r="FQ18" s="34"/>
      <c r="FR18" s="31"/>
      <c r="FS18" s="39"/>
      <c r="FT18" s="39"/>
      <c r="FU18" s="34"/>
      <c r="FV18" s="31"/>
      <c r="FW18" s="34"/>
      <c r="FX18" s="31"/>
      <c r="FY18" s="34"/>
      <c r="FZ18" s="31"/>
      <c r="GA18" s="34"/>
      <c r="GB18" s="31"/>
      <c r="GC18" s="34"/>
      <c r="GD18" s="31"/>
      <c r="GE18" s="34"/>
      <c r="GF18" s="31"/>
      <c r="GG18" s="34"/>
      <c r="GH18" s="31"/>
      <c r="GI18" s="34" t="s">
        <v>454</v>
      </c>
      <c r="GJ18" s="31"/>
      <c r="GK18" s="34"/>
      <c r="GL18" s="31"/>
      <c r="GM18" s="34" t="s">
        <v>501</v>
      </c>
      <c r="GN18" s="31"/>
      <c r="GO18" s="34" t="s">
        <v>96</v>
      </c>
      <c r="GP18" s="31"/>
      <c r="GQ18" s="34"/>
      <c r="GR18" s="31"/>
      <c r="GS18" s="34"/>
      <c r="GT18" s="31"/>
      <c r="GU18" s="34"/>
      <c r="GV18" s="31"/>
      <c r="GW18" s="34"/>
      <c r="GX18" s="31"/>
      <c r="GY18" s="34"/>
      <c r="GZ18" s="31" t="s">
        <v>894</v>
      </c>
      <c r="HA18" s="34"/>
      <c r="HB18" s="31" t="s">
        <v>333</v>
      </c>
      <c r="HC18" s="34"/>
      <c r="HD18" s="30" t="s">
        <v>102</v>
      </c>
      <c r="HE18" s="34" t="s">
        <v>901</v>
      </c>
      <c r="HF18" s="31"/>
      <c r="HG18" s="34"/>
      <c r="HH18" s="31"/>
      <c r="HI18" s="34"/>
      <c r="HJ18" s="31"/>
      <c r="HK18" s="34"/>
      <c r="HL18" s="31"/>
      <c r="HM18" s="34"/>
      <c r="HN18" s="31"/>
      <c r="HO18" s="34" t="s">
        <v>523</v>
      </c>
      <c r="HP18" s="31" t="s">
        <v>56</v>
      </c>
      <c r="HQ18" s="34"/>
      <c r="HR18" s="31"/>
      <c r="HS18" s="34" t="s">
        <v>195</v>
      </c>
      <c r="HT18" s="31"/>
      <c r="HU18" s="34" t="s">
        <v>183</v>
      </c>
      <c r="HV18" s="31"/>
      <c r="HW18" s="34"/>
      <c r="HX18" s="39" t="s">
        <v>163</v>
      </c>
      <c r="HY18" s="39" t="s">
        <v>877</v>
      </c>
      <c r="HZ18" s="31"/>
      <c r="IA18" s="34"/>
      <c r="IB18" s="31"/>
      <c r="IC18" s="34" t="s">
        <v>856</v>
      </c>
      <c r="ID18" s="31" t="s">
        <v>118</v>
      </c>
      <c r="IE18" s="34"/>
      <c r="IF18" s="31"/>
      <c r="IG18" s="34"/>
      <c r="IH18" s="31"/>
      <c r="II18" s="34"/>
      <c r="IJ18" s="31"/>
      <c r="IK18" s="34"/>
      <c r="IL18" s="31"/>
      <c r="IM18" s="34" t="s">
        <v>175</v>
      </c>
      <c r="IN18" s="31"/>
      <c r="IO18" s="34"/>
      <c r="IP18" s="31" t="s">
        <v>45</v>
      </c>
      <c r="IQ18" s="34"/>
      <c r="IR18" s="31"/>
      <c r="IS18" s="34"/>
      <c r="IT18" s="31"/>
      <c r="IU18" s="34"/>
      <c r="IV18" s="31"/>
      <c r="IW18" s="34"/>
      <c r="IX18" s="31"/>
      <c r="IY18" s="34"/>
      <c r="IZ18" s="31"/>
      <c r="JA18" s="34"/>
      <c r="JB18" s="36"/>
    </row>
    <row r="19" spans="1:262" ht="30" customHeight="1" x14ac:dyDescent="0.25">
      <c r="A19" s="27" t="s">
        <v>1288</v>
      </c>
      <c r="B19" s="48" t="str">
        <f t="shared" si="0"/>
        <v>1st Choice Development
Alpha Energy Management, Inc.
Ambrose Construction Inc
Ameresco Solar
Apollo Home Performance
B&amp;B Solar
Bright Power
California Solar Integrators, Inc.
California State Development
Centrica Business Solutions
Chico Electric
Climatec
Communication Infrastructure Corporation (CIC)
DC Solar Electric, Inc
EDF Renewables Distributed Solutions
Enel X North America
Energy Independence Group
Engie Services US
ForeFront Power
Gold Rush Energy Solutions
GRID Alternatives
GS Homes
GTi Solar Construction
Ilum Solar
Infinity Energy Inc
Kuubix Energy, Inc.
LA Solar Group
LLUMETEC
Mack Electric/Gardner Energy
North State Solar Energy Construction
NRG Clean Power
Promise Energy Inc
REC Solar
Sage Energy Consulting
Sarter Construction &amp; Design, Inc / Off the Grid Design / Sol Lux Alpha
Solar Gain West LLC
Solar Pros Inc.
Spreck Energy
Stem, Inc.
Stronghold Engineering
Sunnova Energy
SunPower by Hooked On Solar
SunPower Corporation
Sunterra Solar Inc
Sunworks
Swell Energy
Vivint Solar</v>
      </c>
      <c r="C19" s="29" t="s">
        <v>857</v>
      </c>
      <c r="D19" s="31"/>
      <c r="E19" s="34"/>
      <c r="F19" s="31"/>
      <c r="G19" s="34"/>
      <c r="H19" s="31"/>
      <c r="I19" s="34"/>
      <c r="J19" s="31"/>
      <c r="K19" s="34"/>
      <c r="L19" s="31"/>
      <c r="M19" s="34"/>
      <c r="N19" s="30" t="s">
        <v>1295</v>
      </c>
      <c r="O19" s="34"/>
      <c r="P19" s="31"/>
      <c r="Q19" s="34"/>
      <c r="R19" s="31"/>
      <c r="S19" s="34" t="s">
        <v>87</v>
      </c>
      <c r="T19" s="31" t="s">
        <v>427</v>
      </c>
      <c r="U19" s="34" t="s">
        <v>915</v>
      </c>
      <c r="V19" s="31"/>
      <c r="W19" s="34"/>
      <c r="X19" s="31"/>
      <c r="Y19" s="34" t="s">
        <v>471</v>
      </c>
      <c r="Z19" s="31"/>
      <c r="AA19" s="34"/>
      <c r="AB19" s="31"/>
      <c r="AC19" s="34"/>
      <c r="AD19" s="31"/>
      <c r="AE19" s="34"/>
      <c r="AF19" s="31"/>
      <c r="AG19" s="34"/>
      <c r="AH19" s="31"/>
      <c r="AI19" s="34" t="s">
        <v>202</v>
      </c>
      <c r="AJ19" s="31"/>
      <c r="AK19" s="34"/>
      <c r="AL19" s="31"/>
      <c r="AM19" s="34"/>
      <c r="AN19" s="31"/>
      <c r="AO19" s="34" t="s">
        <v>497</v>
      </c>
      <c r="AP19" s="31" t="s">
        <v>1231</v>
      </c>
      <c r="AQ19" s="34"/>
      <c r="AR19" s="31"/>
      <c r="AS19" s="34" t="s">
        <v>60</v>
      </c>
      <c r="AT19" s="31" t="s">
        <v>205</v>
      </c>
      <c r="AU19" s="34"/>
      <c r="AV19" s="31"/>
      <c r="AW19" s="34"/>
      <c r="AX19" s="31"/>
      <c r="AY19" s="34"/>
      <c r="AZ19" s="31"/>
      <c r="BA19" s="34" t="s">
        <v>351</v>
      </c>
      <c r="BB19" s="31"/>
      <c r="BC19" s="34"/>
      <c r="BD19" s="31"/>
      <c r="BE19" s="34" t="s">
        <v>1215</v>
      </c>
      <c r="BF19" s="31"/>
      <c r="BG19" s="34"/>
      <c r="BH19" s="31"/>
      <c r="BI19" s="34"/>
      <c r="BJ19" s="31" t="s">
        <v>321</v>
      </c>
      <c r="BK19" s="34"/>
      <c r="BL19" s="31"/>
      <c r="BM19" s="34"/>
      <c r="BN19" s="31"/>
      <c r="BO19" s="34"/>
      <c r="BP19" s="31"/>
      <c r="BQ19" s="34" t="s">
        <v>391</v>
      </c>
      <c r="BR19" s="31"/>
      <c r="BS19" s="34"/>
      <c r="BT19" s="31"/>
      <c r="BU19" s="34"/>
      <c r="BV19" s="31"/>
      <c r="BW19" s="34" t="s">
        <v>532</v>
      </c>
      <c r="BX19" s="31" t="s">
        <v>280</v>
      </c>
      <c r="BY19" s="34"/>
      <c r="BZ19" s="31"/>
      <c r="CA19" s="34" t="s">
        <v>853</v>
      </c>
      <c r="CB19" s="31"/>
      <c r="CC19" s="34"/>
      <c r="CD19" s="31"/>
      <c r="CE19" s="34" t="s">
        <v>275</v>
      </c>
      <c r="CF19" s="31"/>
      <c r="CG19" s="34"/>
      <c r="CH19" s="31"/>
      <c r="CI19" s="34"/>
      <c r="CJ19" s="31"/>
      <c r="CK19" s="34"/>
      <c r="CL19" s="31"/>
      <c r="CM19" s="34"/>
      <c r="CN19" s="31" t="s">
        <v>487</v>
      </c>
      <c r="CO19" s="34"/>
      <c r="CP19" s="31"/>
      <c r="CQ19" s="34"/>
      <c r="CR19" s="31"/>
      <c r="CS19" s="34"/>
      <c r="CT19" s="31"/>
      <c r="CU19" s="34" t="s">
        <v>99</v>
      </c>
      <c r="CV19" s="31" t="s">
        <v>852</v>
      </c>
      <c r="CW19" s="34" t="s">
        <v>167</v>
      </c>
      <c r="CX19" s="31"/>
      <c r="CY19" s="34"/>
      <c r="CZ19" s="31"/>
      <c r="DA19" s="34"/>
      <c r="DB19" s="31"/>
      <c r="DC19" s="34"/>
      <c r="DD19" s="31"/>
      <c r="DE19" s="34"/>
      <c r="DF19" s="31"/>
      <c r="DG19" s="34"/>
      <c r="DH19" s="31"/>
      <c r="DI19" s="34"/>
      <c r="DJ19" s="31" t="s">
        <v>272</v>
      </c>
      <c r="DK19" s="34"/>
      <c r="DL19" s="31" t="s">
        <v>428</v>
      </c>
      <c r="DM19" s="34"/>
      <c r="DN19" s="31"/>
      <c r="DO19" s="34"/>
      <c r="DP19" s="31"/>
      <c r="DQ19" s="34"/>
      <c r="DR19" s="31"/>
      <c r="DS19" s="34"/>
      <c r="DT19" s="31"/>
      <c r="DU19" s="34"/>
      <c r="DV19" s="31" t="s">
        <v>109</v>
      </c>
      <c r="DW19" s="34" t="s">
        <v>895</v>
      </c>
      <c r="DX19" s="31"/>
      <c r="DY19" s="34"/>
      <c r="DZ19" s="31"/>
      <c r="EA19" s="34" t="s">
        <v>595</v>
      </c>
      <c r="EB19" s="31"/>
      <c r="EC19" s="34"/>
      <c r="ED19" s="31"/>
      <c r="EE19" s="34" t="s">
        <v>83</v>
      </c>
      <c r="EF19" s="31"/>
      <c r="EG19" s="34"/>
      <c r="EH19" s="31"/>
      <c r="EI19" s="34"/>
      <c r="EJ19" s="31"/>
      <c r="EK19" s="34"/>
      <c r="EL19" s="31"/>
      <c r="EM19" s="34"/>
      <c r="EN19" s="31"/>
      <c r="EO19" s="34"/>
      <c r="EP19" s="31"/>
      <c r="EQ19" s="34" t="s">
        <v>363</v>
      </c>
      <c r="ER19" s="31"/>
      <c r="ES19" s="34" t="s">
        <v>935</v>
      </c>
      <c r="ET19" s="31"/>
      <c r="EU19" s="34"/>
      <c r="EV19" s="31"/>
      <c r="EW19" s="34"/>
      <c r="EX19" s="31"/>
      <c r="EY19" s="34"/>
      <c r="EZ19" s="31"/>
      <c r="FA19" s="34"/>
      <c r="FB19" s="31"/>
      <c r="FC19" s="34"/>
      <c r="FD19" s="31" t="s">
        <v>484</v>
      </c>
      <c r="FE19" s="34"/>
      <c r="FF19" s="31"/>
      <c r="FG19" s="34"/>
      <c r="FH19" s="31"/>
      <c r="FI19" s="34" t="s">
        <v>354</v>
      </c>
      <c r="FJ19" s="31"/>
      <c r="FK19" s="34"/>
      <c r="FL19" s="31"/>
      <c r="FM19" s="34"/>
      <c r="FN19" s="31" t="s">
        <v>465</v>
      </c>
      <c r="FO19" s="34"/>
      <c r="FP19" s="31"/>
      <c r="FQ19" s="34" t="s">
        <v>171</v>
      </c>
      <c r="FR19" s="31"/>
      <c r="FS19" s="39"/>
      <c r="FT19" s="39"/>
      <c r="FU19" s="34"/>
      <c r="FV19" s="31"/>
      <c r="FW19" s="34"/>
      <c r="FX19" s="31"/>
      <c r="FY19" s="34"/>
      <c r="FZ19" s="31"/>
      <c r="GA19" s="34"/>
      <c r="GB19" s="31"/>
      <c r="GC19" s="34"/>
      <c r="GD19" s="31"/>
      <c r="GE19" s="34"/>
      <c r="GF19" s="31"/>
      <c r="GG19" s="34"/>
      <c r="GH19" s="31"/>
      <c r="GI19" s="34" t="s">
        <v>454</v>
      </c>
      <c r="GJ19" s="31"/>
      <c r="GK19" s="34"/>
      <c r="GL19" s="31"/>
      <c r="GM19" s="34" t="s">
        <v>501</v>
      </c>
      <c r="GN19" s="31"/>
      <c r="GO19" s="34"/>
      <c r="GP19" s="31"/>
      <c r="GQ19" s="34"/>
      <c r="GR19" s="31"/>
      <c r="GS19" s="34"/>
      <c r="GT19" s="31"/>
      <c r="GU19" s="34"/>
      <c r="GV19" s="31"/>
      <c r="GW19" s="34"/>
      <c r="GX19" s="31"/>
      <c r="GY19" s="34"/>
      <c r="GZ19" s="31" t="s">
        <v>894</v>
      </c>
      <c r="HA19" s="34"/>
      <c r="HB19" s="31"/>
      <c r="HC19" s="34"/>
      <c r="HD19" s="30" t="s">
        <v>102</v>
      </c>
      <c r="HE19" s="34" t="s">
        <v>901</v>
      </c>
      <c r="HF19" s="31"/>
      <c r="HG19" s="34"/>
      <c r="HH19" s="31"/>
      <c r="HI19" s="34"/>
      <c r="HJ19" s="31"/>
      <c r="HK19" s="34"/>
      <c r="HL19" s="31"/>
      <c r="HM19" s="34"/>
      <c r="HN19" s="31"/>
      <c r="HO19" s="34" t="s">
        <v>523</v>
      </c>
      <c r="HP19" s="31"/>
      <c r="HQ19" s="34" t="s">
        <v>1303</v>
      </c>
      <c r="HR19" s="31"/>
      <c r="HS19" s="34" t="s">
        <v>195</v>
      </c>
      <c r="HT19" s="31"/>
      <c r="HU19" s="34"/>
      <c r="HV19" s="31"/>
      <c r="HW19" s="34"/>
      <c r="HX19" s="39" t="s">
        <v>163</v>
      </c>
      <c r="HY19" s="39" t="s">
        <v>877</v>
      </c>
      <c r="HZ19" s="31"/>
      <c r="IA19" s="34"/>
      <c r="IB19" s="31"/>
      <c r="IC19" s="34" t="s">
        <v>856</v>
      </c>
      <c r="ID19" s="31"/>
      <c r="IE19" s="34"/>
      <c r="IF19" s="31"/>
      <c r="IG19" s="34"/>
      <c r="IH19" s="31"/>
      <c r="II19" s="34"/>
      <c r="IJ19" s="31"/>
      <c r="IK19" s="34"/>
      <c r="IL19" s="31"/>
      <c r="IM19" s="34"/>
      <c r="IN19" s="31"/>
      <c r="IO19" s="34"/>
      <c r="IP19" s="31" t="s">
        <v>45</v>
      </c>
      <c r="IQ19" s="34"/>
      <c r="IR19" s="31"/>
      <c r="IS19" s="34"/>
      <c r="IT19" s="31"/>
      <c r="IU19" s="34"/>
      <c r="IV19" s="31"/>
      <c r="IW19" s="34"/>
      <c r="IX19" s="31"/>
      <c r="IY19" s="34"/>
      <c r="IZ19" s="31"/>
      <c r="JA19" s="34"/>
      <c r="JB19" s="36"/>
    </row>
    <row r="20" spans="1:262" ht="30" customHeight="1" x14ac:dyDescent="0.25">
      <c r="A20" s="26" t="s">
        <v>1289</v>
      </c>
      <c r="B20" s="48" t="str">
        <f t="shared" si="0"/>
        <v>1st Choice Development
3fficient
Aeterna Energy
Alpha Energy Management, Inc.
Altadena Energy and Solar
Altair Solar Inc
ALX Company, Inc.
Ameresco Solar
Apollo Home Performance
AWS Electrical &amp; Solar Inc.
Baker Electric
Belmont Energy
Blalock Electric &amp; Solar Inc.
Blue Planet Water and Power Company
Blue Sky Energy
Bright Life Solar
Bright Power
CalCom Energy
California Solar Electric
California Solar Integrators, Inc.
California State Development
Centrica Business Solutions
Citadel Roofing &amp; Solar
Climate Solar Solution
Climatec
Communication Infrastructure Corporation (CIC)
DC Solar Electric, Inc
EcoSolar USA
EDF Renewables Distributed Solutions
Effect Energy, Inc
Electro Thermal
Enel X North America
Energy Independence Group
Energy Innovative Solutions LLC
Energy Options
Engie Services US
First American Solar
ForeFront Power
Freevolt
FreeVolt USA INC
Future Energy Corporation
Go Green Solar
Gold Rush Energy Solutions
Golden State Power
Green Water and Power
GRID Alternatives
GS Homes
Guasti Solar
Harrison Electric and Solar
HES Solar
Home Grown Energy Solutions
Horizon Solar Power
Ilum Solar
Infinity Energy Inc
Kota Construction
Kuubix Energy, Inc.
LA Solar Group
LED Power Saver
LLUMETEC
M Kahn Solar Inc. d/b/a Kahn Solar
M2 Multimedia
Mack Electric/Gardner Energy
Mimeos
Neighborhood ACE
NextGen Construction
NGR Upgrade
Nopec, Inc d/b/a Run on Sun
NRG Clean Power
Option One Solar
Pacific Sun Technologies
PacificWest Energy Solutions, Inc.
Palomar Solar and Roofing
Plug It In Solar
Promise Energy Inc
Quantum Solar Designs, Inc.
REC Solar
Revel Energy
Sage Energy Consulting
Semper Solaris
Simply Solar
SKR Solar
Solar Forward
Solar Gain West LLC
Solar Gem
Solar Optimum Inc
Solar Pros Inc.
Solar Spectrom
Solar Symphony Construction Inc
Stellar Solar
Stem, Inc.
Stronghold Engineering
Sunce Energy Solutions, Inc.
SunGreen Systems
Sunistics Group
Sunnova Energy
SunPower Corporation
Sunstreet
Sunterra Solar Inc
Sunworks
Sustineo
Swell Energy
Tree Public
Treeium Energy
Trinity Power
V3 Electric Inc
Vector Green Power and Materials LLC
Vivint Solar
Voltage River
Xero Solar
Xnergy
Your Energy Source (YES)</v>
      </c>
      <c r="C20" s="29" t="s">
        <v>857</v>
      </c>
      <c r="D20" s="30" t="s">
        <v>863</v>
      </c>
      <c r="E20" s="34"/>
      <c r="F20" s="31"/>
      <c r="G20" s="34"/>
      <c r="H20" s="31"/>
      <c r="I20" s="34" t="s">
        <v>1233</v>
      </c>
      <c r="J20" s="31"/>
      <c r="K20" s="34"/>
      <c r="L20" s="31"/>
      <c r="M20" s="34"/>
      <c r="N20" s="30" t="s">
        <v>1295</v>
      </c>
      <c r="O20" s="34" t="s">
        <v>941</v>
      </c>
      <c r="P20" s="31" t="s">
        <v>122</v>
      </c>
      <c r="Q20" s="34"/>
      <c r="R20" s="31" t="s">
        <v>936</v>
      </c>
      <c r="S20" s="34"/>
      <c r="T20" s="31" t="s">
        <v>427</v>
      </c>
      <c r="U20" s="34" t="s">
        <v>915</v>
      </c>
      <c r="V20" s="31"/>
      <c r="W20" s="34" t="s">
        <v>293</v>
      </c>
      <c r="X20" s="31"/>
      <c r="Y20" s="34"/>
      <c r="Z20" s="31" t="s">
        <v>883</v>
      </c>
      <c r="AA20" s="34"/>
      <c r="AB20" s="31" t="s">
        <v>942</v>
      </c>
      <c r="AC20" s="34"/>
      <c r="AD20" s="31" t="s">
        <v>553</v>
      </c>
      <c r="AE20" s="34" t="s">
        <v>943</v>
      </c>
      <c r="AF20" s="31" t="s">
        <v>1232</v>
      </c>
      <c r="AG20" s="34"/>
      <c r="AH20" s="31" t="s">
        <v>549</v>
      </c>
      <c r="AI20" s="34" t="s">
        <v>202</v>
      </c>
      <c r="AJ20" s="31"/>
      <c r="AK20" s="34"/>
      <c r="AL20" s="31" t="s">
        <v>217</v>
      </c>
      <c r="AM20" s="34" t="s">
        <v>463</v>
      </c>
      <c r="AN20" s="31"/>
      <c r="AO20" s="34" t="s">
        <v>497</v>
      </c>
      <c r="AP20" s="31" t="s">
        <v>1231</v>
      </c>
      <c r="AQ20" s="34"/>
      <c r="AR20" s="31"/>
      <c r="AS20" s="34" t="s">
        <v>60</v>
      </c>
      <c r="AT20" s="31"/>
      <c r="AU20" s="34"/>
      <c r="AV20" s="31" t="s">
        <v>199</v>
      </c>
      <c r="AW20" s="34"/>
      <c r="AX20" s="31"/>
      <c r="AY20" s="34"/>
      <c r="AZ20" s="31" t="s">
        <v>397</v>
      </c>
      <c r="BA20" s="34" t="s">
        <v>351</v>
      </c>
      <c r="BB20" s="31"/>
      <c r="BC20" s="34"/>
      <c r="BD20" s="31"/>
      <c r="BE20" s="34" t="s">
        <v>1215</v>
      </c>
      <c r="BF20" s="31"/>
      <c r="BG20" s="34"/>
      <c r="BH20" s="31"/>
      <c r="BI20" s="34"/>
      <c r="BJ20" s="31" t="s">
        <v>321</v>
      </c>
      <c r="BK20" s="34"/>
      <c r="BL20" s="31"/>
      <c r="BM20" s="34"/>
      <c r="BN20" s="31"/>
      <c r="BO20" s="34"/>
      <c r="BP20" s="31" t="s">
        <v>917</v>
      </c>
      <c r="BQ20" s="34" t="s">
        <v>391</v>
      </c>
      <c r="BR20" s="31" t="s">
        <v>190</v>
      </c>
      <c r="BS20" s="34" t="s">
        <v>872</v>
      </c>
      <c r="BT20" s="31"/>
      <c r="BU20" s="34"/>
      <c r="BV20" s="31"/>
      <c r="BW20" s="34" t="s">
        <v>532</v>
      </c>
      <c r="BX20" s="31" t="s">
        <v>280</v>
      </c>
      <c r="BY20" s="34" t="s">
        <v>211</v>
      </c>
      <c r="BZ20" s="31" t="s">
        <v>896</v>
      </c>
      <c r="CA20" s="34" t="s">
        <v>853</v>
      </c>
      <c r="CB20" s="31"/>
      <c r="CC20" s="34" t="s">
        <v>537</v>
      </c>
      <c r="CD20" s="31"/>
      <c r="CE20" s="34" t="s">
        <v>275</v>
      </c>
      <c r="CF20" s="31" t="s">
        <v>253</v>
      </c>
      <c r="CG20" s="34" t="s">
        <v>327</v>
      </c>
      <c r="CH20" s="31"/>
      <c r="CI20" s="34"/>
      <c r="CJ20" s="31" t="s">
        <v>323</v>
      </c>
      <c r="CK20" s="34"/>
      <c r="CL20" s="31" t="s">
        <v>417</v>
      </c>
      <c r="CM20" s="34"/>
      <c r="CN20" s="31" t="s">
        <v>487</v>
      </c>
      <c r="CO20" s="34"/>
      <c r="CP20" s="31" t="s">
        <v>296</v>
      </c>
      <c r="CQ20" s="34"/>
      <c r="CR20" s="31"/>
      <c r="CS20" s="34" t="s">
        <v>892</v>
      </c>
      <c r="CT20" s="31"/>
      <c r="CU20" s="34" t="s">
        <v>99</v>
      </c>
      <c r="CV20" s="31" t="s">
        <v>852</v>
      </c>
      <c r="CW20" s="34"/>
      <c r="CX20" s="31" t="s">
        <v>859</v>
      </c>
      <c r="CY20" s="34" t="s">
        <v>873</v>
      </c>
      <c r="CZ20" s="31"/>
      <c r="DA20" s="34" t="s">
        <v>485</v>
      </c>
      <c r="DB20" s="31"/>
      <c r="DC20" s="34" t="s">
        <v>920</v>
      </c>
      <c r="DD20" s="31"/>
      <c r="DE20" s="34" t="s">
        <v>134</v>
      </c>
      <c r="DF20" s="31"/>
      <c r="DG20" s="34"/>
      <c r="DH20" s="31"/>
      <c r="DI20" s="34"/>
      <c r="DJ20" s="31" t="s">
        <v>272</v>
      </c>
      <c r="DK20" s="34"/>
      <c r="DL20" s="31" t="s">
        <v>428</v>
      </c>
      <c r="DM20" s="34"/>
      <c r="DN20" s="31"/>
      <c r="DO20" s="34"/>
      <c r="DP20" s="31"/>
      <c r="DQ20" s="34"/>
      <c r="DR20" s="31"/>
      <c r="DS20" s="34"/>
      <c r="DT20" s="31"/>
      <c r="DU20" s="34" t="s">
        <v>267</v>
      </c>
      <c r="DV20" s="31" t="s">
        <v>109</v>
      </c>
      <c r="DW20" s="34" t="s">
        <v>895</v>
      </c>
      <c r="DX20" s="31"/>
      <c r="DY20" s="34" t="s">
        <v>889</v>
      </c>
      <c r="DZ20" s="31"/>
      <c r="EA20" s="34" t="s">
        <v>595</v>
      </c>
      <c r="EB20" s="31" t="s">
        <v>448</v>
      </c>
      <c r="EC20" s="34"/>
      <c r="ED20" s="31" t="s">
        <v>860</v>
      </c>
      <c r="EE20" s="34" t="s">
        <v>83</v>
      </c>
      <c r="EF20" s="31"/>
      <c r="EG20" s="34"/>
      <c r="EH20" s="31"/>
      <c r="EI20" s="34" t="s">
        <v>900</v>
      </c>
      <c r="EJ20" s="31"/>
      <c r="EK20" s="34"/>
      <c r="EL20" s="31" t="s">
        <v>951</v>
      </c>
      <c r="EM20" s="34"/>
      <c r="EN20" s="31" t="s">
        <v>948</v>
      </c>
      <c r="EO20" s="34" t="s">
        <v>880</v>
      </c>
      <c r="EP20" s="31" t="s">
        <v>431</v>
      </c>
      <c r="EQ20" s="34"/>
      <c r="ER20" s="31"/>
      <c r="ES20" s="34" t="s">
        <v>935</v>
      </c>
      <c r="ET20" s="31"/>
      <c r="EU20" s="34" t="s">
        <v>264</v>
      </c>
      <c r="EV20" s="31"/>
      <c r="EW20" s="34"/>
      <c r="EX20" s="31" t="s">
        <v>903</v>
      </c>
      <c r="EY20" s="34" t="s">
        <v>559</v>
      </c>
      <c r="EZ20" s="31" t="s">
        <v>156</v>
      </c>
      <c r="FA20" s="34"/>
      <c r="FB20" s="31"/>
      <c r="FC20" s="34" t="s">
        <v>940</v>
      </c>
      <c r="FD20" s="31" t="s">
        <v>484</v>
      </c>
      <c r="FE20" s="34"/>
      <c r="FF20" s="31"/>
      <c r="FG20" s="34" t="s">
        <v>541</v>
      </c>
      <c r="FH20" s="31"/>
      <c r="FI20" s="34" t="s">
        <v>354</v>
      </c>
      <c r="FJ20" s="31"/>
      <c r="FK20" s="34" t="s">
        <v>341</v>
      </c>
      <c r="FL20" s="31"/>
      <c r="FM20" s="34"/>
      <c r="FN20" s="31" t="s">
        <v>465</v>
      </c>
      <c r="FO20" s="34"/>
      <c r="FP20" s="31"/>
      <c r="FQ20" s="34"/>
      <c r="FR20" s="31"/>
      <c r="FS20" s="39"/>
      <c r="FT20" s="39"/>
      <c r="FU20" s="34" t="s">
        <v>630</v>
      </c>
      <c r="FV20" s="31"/>
      <c r="FW20" s="34"/>
      <c r="FX20" s="31"/>
      <c r="FY20" s="34"/>
      <c r="FZ20" s="31" t="s">
        <v>933</v>
      </c>
      <c r="GA20" s="34"/>
      <c r="GB20" s="31" t="s">
        <v>893</v>
      </c>
      <c r="GC20" s="34"/>
      <c r="GD20" s="31"/>
      <c r="GE20" s="34"/>
      <c r="GF20" s="31"/>
      <c r="GG20" s="34"/>
      <c r="GH20" s="31" t="s">
        <v>897</v>
      </c>
      <c r="GI20" s="34" t="s">
        <v>454</v>
      </c>
      <c r="GJ20" s="31" t="s">
        <v>905</v>
      </c>
      <c r="GK20" s="34"/>
      <c r="GL20" s="31" t="s">
        <v>106</v>
      </c>
      <c r="GM20" s="34" t="s">
        <v>501</v>
      </c>
      <c r="GN20" s="31"/>
      <c r="GO20" s="34"/>
      <c r="GP20" s="31" t="s">
        <v>861</v>
      </c>
      <c r="GQ20" s="34" t="s">
        <v>244</v>
      </c>
      <c r="GR20" s="31"/>
      <c r="GS20" s="34"/>
      <c r="GT20" s="31"/>
      <c r="GU20" s="34"/>
      <c r="GV20" s="31"/>
      <c r="GW20" s="34"/>
      <c r="GX20" s="31"/>
      <c r="GY20" s="34"/>
      <c r="GZ20" s="31"/>
      <c r="HA20" s="34"/>
      <c r="HB20" s="31"/>
      <c r="HC20" s="34" t="s">
        <v>129</v>
      </c>
      <c r="HD20" s="30" t="s">
        <v>102</v>
      </c>
      <c r="HE20" s="34" t="s">
        <v>901</v>
      </c>
      <c r="HF20" s="31"/>
      <c r="HG20" s="34"/>
      <c r="HH20" s="31"/>
      <c r="HI20" s="34"/>
      <c r="HJ20" s="31" t="s">
        <v>1055</v>
      </c>
      <c r="HK20" s="34"/>
      <c r="HL20" s="31" t="s">
        <v>444</v>
      </c>
      <c r="HM20" s="34" t="s">
        <v>887</v>
      </c>
      <c r="HN20" s="31"/>
      <c r="HO20" s="34" t="s">
        <v>523</v>
      </c>
      <c r="HP20" s="31"/>
      <c r="HQ20" s="34"/>
      <c r="HR20" s="31"/>
      <c r="HS20" s="34" t="s">
        <v>195</v>
      </c>
      <c r="HT20" s="31"/>
      <c r="HU20" s="34"/>
      <c r="HV20" s="31" t="s">
        <v>370</v>
      </c>
      <c r="HW20" s="34"/>
      <c r="HX20" s="39" t="s">
        <v>163</v>
      </c>
      <c r="HY20" s="39" t="s">
        <v>877</v>
      </c>
      <c r="HZ20" s="31"/>
      <c r="IA20" s="34"/>
      <c r="IB20" s="31" t="s">
        <v>952</v>
      </c>
      <c r="IC20" s="34" t="s">
        <v>856</v>
      </c>
      <c r="ID20" s="31"/>
      <c r="IE20" s="34"/>
      <c r="IF20" s="31"/>
      <c r="IG20" s="34"/>
      <c r="IH20" s="31"/>
      <c r="II20" s="34" t="s">
        <v>870</v>
      </c>
      <c r="IJ20" s="31" t="s">
        <v>460</v>
      </c>
      <c r="IK20" s="34" t="s">
        <v>937</v>
      </c>
      <c r="IL20" s="31"/>
      <c r="IM20" s="34" t="s">
        <v>175</v>
      </c>
      <c r="IN20" s="31"/>
      <c r="IO20" s="34" t="s">
        <v>230</v>
      </c>
      <c r="IP20" s="31" t="s">
        <v>45</v>
      </c>
      <c r="IQ20" s="34" t="s">
        <v>301</v>
      </c>
      <c r="IR20" s="31"/>
      <c r="IS20" s="34"/>
      <c r="IT20" s="31"/>
      <c r="IU20" s="34"/>
      <c r="IV20" s="31"/>
      <c r="IW20" s="34"/>
      <c r="IX20" s="31" t="s">
        <v>344</v>
      </c>
      <c r="IY20" s="34" t="s">
        <v>902</v>
      </c>
      <c r="IZ20" s="31"/>
      <c r="JA20" s="34" t="s">
        <v>871</v>
      </c>
      <c r="JB20" s="36"/>
    </row>
    <row r="21" spans="1:262" ht="30" customHeight="1" x14ac:dyDescent="0.25">
      <c r="A21" s="27" t="s">
        <v>1252</v>
      </c>
      <c r="B21" s="48" t="str">
        <f t="shared" si="0"/>
        <v>1st Choice Development
A-1 Contractors Inc. dba A-1 Electric
Airsun
Alpha Energy Management, Inc.
AltSys Solar Incorporated
Apollo Home Performance
Bright Power
CalCom Energy
California Solar Integrators, Inc.
California State Development
Centrica Business Solutions
Chico Electric
Climatec
Communication Infrastructure Corporation (CIC)
DC Solar Electric, Inc
Donald P. Dick Air Conditioning
EDF Renewables Distributed Solutions
Enel X North America
Energy Independence Group
Engie Services US
ForeFront Power
FreeVolt USA INC
Gold Rush Energy Solutions
Golden State Power
Green Water and Power
Green Wolf Energy
GRID Alternatives
GS Homes
Horizon Solar Power
Ilum Solar
Infinity Energy Inc
Kota Construction
Kuubix Energy, Inc.
LA Solar Group
LLUMETEC
Mack Electric/Gardner Energy
North State Solar Energy Construction
NRG Clean Power
Pacific Rim ConstructioRAM SOLAR
Promise Energy Inc
Quality Home Services
REC Solar
Revel Energy
RHA
Sage Energy Consulting
Semper Solaris
SIG Solar
Solar Gain West LLC
Solar Maintenance Pros
Solar Pros Inc.
Solar Savings Direct
SolTek Industries Inc.
Spreck Energy
Stem, Inc.
Stronghold Engineering
Sunnova Energy
SunPower by Quality Home Services
SunPower Corporation
Sunterra Solar Inc
Sunworks
Swell Energy
Trinity Power
V3 Electric Inc
Valley Unique Electric, Inc.
Vivint Solar</v>
      </c>
      <c r="C21" s="29" t="s">
        <v>857</v>
      </c>
      <c r="D21" s="31"/>
      <c r="E21" s="33" t="s">
        <v>240</v>
      </c>
      <c r="F21" s="31"/>
      <c r="G21" s="34"/>
      <c r="H21" s="31"/>
      <c r="I21" s="34"/>
      <c r="J21" s="31" t="s">
        <v>907</v>
      </c>
      <c r="K21" s="34"/>
      <c r="L21" s="31"/>
      <c r="M21" s="34"/>
      <c r="N21" s="30" t="s">
        <v>1295</v>
      </c>
      <c r="O21" s="34"/>
      <c r="P21" s="31"/>
      <c r="Q21" s="34" t="s">
        <v>881</v>
      </c>
      <c r="R21" s="31"/>
      <c r="S21" s="34"/>
      <c r="T21" s="31"/>
      <c r="U21" s="34" t="s">
        <v>915</v>
      </c>
      <c r="V21" s="31"/>
      <c r="W21" s="34"/>
      <c r="X21" s="31"/>
      <c r="Y21" s="34"/>
      <c r="Z21" s="31"/>
      <c r="AA21" s="34"/>
      <c r="AB21" s="31"/>
      <c r="AC21" s="34"/>
      <c r="AD21" s="31"/>
      <c r="AE21" s="34"/>
      <c r="AF21" s="31"/>
      <c r="AG21" s="34"/>
      <c r="AH21" s="31"/>
      <c r="AI21" s="34" t="s">
        <v>202</v>
      </c>
      <c r="AJ21" s="31"/>
      <c r="AK21" s="34"/>
      <c r="AL21" s="31" t="s">
        <v>217</v>
      </c>
      <c r="AM21" s="34"/>
      <c r="AN21" s="31"/>
      <c r="AO21" s="34" t="s">
        <v>497</v>
      </c>
      <c r="AP21" s="31" t="s">
        <v>1231</v>
      </c>
      <c r="AQ21" s="34"/>
      <c r="AR21" s="31"/>
      <c r="AS21" s="34" t="s">
        <v>60</v>
      </c>
      <c r="AT21" s="31" t="s">
        <v>205</v>
      </c>
      <c r="AU21" s="34"/>
      <c r="AV21" s="31"/>
      <c r="AW21" s="34"/>
      <c r="AX21" s="31"/>
      <c r="AY21" s="34"/>
      <c r="AZ21" s="31"/>
      <c r="BA21" s="34" t="s">
        <v>351</v>
      </c>
      <c r="BB21" s="31"/>
      <c r="BC21" s="34"/>
      <c r="BD21" s="31"/>
      <c r="BE21" s="34" t="s">
        <v>1215</v>
      </c>
      <c r="BF21" s="31"/>
      <c r="BG21" s="34"/>
      <c r="BH21" s="31"/>
      <c r="BI21" s="34"/>
      <c r="BJ21" s="31" t="s">
        <v>321</v>
      </c>
      <c r="BK21" s="34"/>
      <c r="BL21" s="31" t="s">
        <v>888</v>
      </c>
      <c r="BM21" s="34"/>
      <c r="BN21" s="31"/>
      <c r="BO21" s="34"/>
      <c r="BP21" s="31"/>
      <c r="BQ21" s="34" t="s">
        <v>391</v>
      </c>
      <c r="BR21" s="31"/>
      <c r="BS21" s="34"/>
      <c r="BT21" s="31"/>
      <c r="BU21" s="34"/>
      <c r="BV21" s="31"/>
      <c r="BW21" s="34" t="s">
        <v>532</v>
      </c>
      <c r="BX21" s="31" t="s">
        <v>280</v>
      </c>
      <c r="BY21" s="34"/>
      <c r="BZ21" s="31"/>
      <c r="CA21" s="34" t="s">
        <v>853</v>
      </c>
      <c r="CB21" s="31"/>
      <c r="CC21" s="34"/>
      <c r="CD21" s="31"/>
      <c r="CE21" s="34" t="s">
        <v>275</v>
      </c>
      <c r="CF21" s="31"/>
      <c r="CG21" s="34" t="s">
        <v>327</v>
      </c>
      <c r="CH21" s="31"/>
      <c r="CI21" s="34"/>
      <c r="CJ21" s="31"/>
      <c r="CK21" s="34"/>
      <c r="CL21" s="31"/>
      <c r="CM21" s="34"/>
      <c r="CN21" s="31" t="s">
        <v>487</v>
      </c>
      <c r="CO21" s="34"/>
      <c r="CP21" s="31" t="s">
        <v>296</v>
      </c>
      <c r="CQ21" s="34"/>
      <c r="CR21" s="31"/>
      <c r="CS21" s="34" t="s">
        <v>892</v>
      </c>
      <c r="CT21" s="31" t="s">
        <v>494</v>
      </c>
      <c r="CU21" s="34" t="s">
        <v>99</v>
      </c>
      <c r="CV21" s="31" t="s">
        <v>852</v>
      </c>
      <c r="CW21" s="34"/>
      <c r="CX21" s="31"/>
      <c r="CY21" s="34"/>
      <c r="CZ21" s="31"/>
      <c r="DA21" s="34"/>
      <c r="DB21" s="31"/>
      <c r="DC21" s="34"/>
      <c r="DD21" s="31"/>
      <c r="DE21" s="34" t="s">
        <v>134</v>
      </c>
      <c r="DF21" s="31"/>
      <c r="DG21" s="34"/>
      <c r="DH21" s="31"/>
      <c r="DI21" s="34"/>
      <c r="DJ21" s="31" t="s">
        <v>272</v>
      </c>
      <c r="DK21" s="34"/>
      <c r="DL21" s="31" t="s">
        <v>428</v>
      </c>
      <c r="DM21" s="34"/>
      <c r="DN21" s="31"/>
      <c r="DO21" s="34"/>
      <c r="DP21" s="31"/>
      <c r="DQ21" s="34"/>
      <c r="DR21" s="31"/>
      <c r="DS21" s="34"/>
      <c r="DT21" s="31"/>
      <c r="DU21" s="34" t="s">
        <v>267</v>
      </c>
      <c r="DV21" s="31" t="s">
        <v>109</v>
      </c>
      <c r="DW21" s="34" t="s">
        <v>895</v>
      </c>
      <c r="DX21" s="31"/>
      <c r="DY21" s="34"/>
      <c r="DZ21" s="31"/>
      <c r="EA21" s="34" t="s">
        <v>595</v>
      </c>
      <c r="EB21" s="31"/>
      <c r="EC21" s="34"/>
      <c r="ED21" s="31"/>
      <c r="EE21" s="34" t="s">
        <v>83</v>
      </c>
      <c r="EF21" s="31"/>
      <c r="EG21" s="34"/>
      <c r="EH21" s="31"/>
      <c r="EI21" s="34"/>
      <c r="EJ21" s="31"/>
      <c r="EK21" s="34"/>
      <c r="EL21" s="31"/>
      <c r="EM21" s="34"/>
      <c r="EN21" s="31"/>
      <c r="EO21" s="34"/>
      <c r="EP21" s="31"/>
      <c r="EQ21" s="34" t="s">
        <v>363</v>
      </c>
      <c r="ER21" s="31"/>
      <c r="ES21" s="34" t="s">
        <v>935</v>
      </c>
      <c r="ET21" s="31"/>
      <c r="EU21" s="34"/>
      <c r="EV21" s="31"/>
      <c r="EW21" s="34" t="s">
        <v>983</v>
      </c>
      <c r="EX21" s="31"/>
      <c r="EY21" s="34"/>
      <c r="EZ21" s="31"/>
      <c r="FA21" s="34"/>
      <c r="FB21" s="31"/>
      <c r="FC21" s="34"/>
      <c r="FD21" s="31" t="s">
        <v>484</v>
      </c>
      <c r="FE21" s="34"/>
      <c r="FF21" s="31" t="s">
        <v>439</v>
      </c>
      <c r="FG21" s="34"/>
      <c r="FH21" s="31"/>
      <c r="FI21" s="34" t="s">
        <v>354</v>
      </c>
      <c r="FJ21" s="31"/>
      <c r="FK21" s="34" t="s">
        <v>341</v>
      </c>
      <c r="FL21" s="31" t="s">
        <v>854</v>
      </c>
      <c r="FM21" s="34"/>
      <c r="FN21" s="31" t="s">
        <v>465</v>
      </c>
      <c r="FO21" s="34"/>
      <c r="FP21" s="31"/>
      <c r="FQ21" s="34"/>
      <c r="FR21" s="31"/>
      <c r="FS21" s="39"/>
      <c r="FT21" s="39"/>
      <c r="FU21" s="34" t="s">
        <v>630</v>
      </c>
      <c r="FV21" s="31"/>
      <c r="FW21" s="34"/>
      <c r="FX21" s="31" t="s">
        <v>934</v>
      </c>
      <c r="FY21" s="34"/>
      <c r="FZ21" s="31"/>
      <c r="GA21" s="34"/>
      <c r="GB21" s="31"/>
      <c r="GC21" s="34"/>
      <c r="GD21" s="31"/>
      <c r="GE21" s="34"/>
      <c r="GF21" s="31"/>
      <c r="GG21" s="34"/>
      <c r="GH21" s="31"/>
      <c r="GI21" s="34" t="s">
        <v>454</v>
      </c>
      <c r="GJ21" s="31"/>
      <c r="GK21" s="34" t="s">
        <v>953</v>
      </c>
      <c r="GL21" s="31"/>
      <c r="GM21" s="34" t="s">
        <v>501</v>
      </c>
      <c r="GN21" s="31"/>
      <c r="GO21" s="34" t="s">
        <v>96</v>
      </c>
      <c r="GP21" s="31"/>
      <c r="GQ21" s="34"/>
      <c r="GR21" s="31"/>
      <c r="GS21" s="34"/>
      <c r="GT21" s="31"/>
      <c r="GU21" s="34"/>
      <c r="GV21" s="31"/>
      <c r="GW21" s="34"/>
      <c r="GX21" s="31" t="s">
        <v>950</v>
      </c>
      <c r="GY21" s="34"/>
      <c r="GZ21" s="31" t="s">
        <v>894</v>
      </c>
      <c r="HA21" s="34"/>
      <c r="HB21" s="31"/>
      <c r="HC21" s="34"/>
      <c r="HD21" s="30" t="s">
        <v>102</v>
      </c>
      <c r="HE21" s="34" t="s">
        <v>901</v>
      </c>
      <c r="HF21" s="31"/>
      <c r="HG21" s="34"/>
      <c r="HH21" s="31"/>
      <c r="HI21" s="34"/>
      <c r="HJ21" s="31"/>
      <c r="HK21" s="34"/>
      <c r="HL21" s="31"/>
      <c r="HM21" s="34"/>
      <c r="HN21" s="31"/>
      <c r="HO21" s="34" t="s">
        <v>523</v>
      </c>
      <c r="HP21" s="31"/>
      <c r="HQ21" s="34"/>
      <c r="HR21" s="31" t="s">
        <v>1302</v>
      </c>
      <c r="HS21" s="34" t="s">
        <v>195</v>
      </c>
      <c r="HT21" s="31"/>
      <c r="HU21" s="34"/>
      <c r="HV21" s="31"/>
      <c r="HW21" s="34"/>
      <c r="HX21" s="39" t="s">
        <v>163</v>
      </c>
      <c r="HY21" s="39" t="s">
        <v>877</v>
      </c>
      <c r="HZ21" s="31"/>
      <c r="IA21" s="34"/>
      <c r="IB21" s="31"/>
      <c r="IC21" s="34" t="s">
        <v>856</v>
      </c>
      <c r="ID21" s="31"/>
      <c r="IE21" s="34"/>
      <c r="IF21" s="31"/>
      <c r="IG21" s="34"/>
      <c r="IH21" s="31"/>
      <c r="II21" s="34"/>
      <c r="IJ21" s="31"/>
      <c r="IK21" s="34" t="s">
        <v>937</v>
      </c>
      <c r="IL21" s="31"/>
      <c r="IM21" s="34" t="s">
        <v>175</v>
      </c>
      <c r="IN21" s="31" t="s">
        <v>884</v>
      </c>
      <c r="IO21" s="34"/>
      <c r="IP21" s="31" t="s">
        <v>45</v>
      </c>
      <c r="IQ21" s="34"/>
      <c r="IR21" s="31"/>
      <c r="IS21" s="34"/>
      <c r="IT21" s="31"/>
      <c r="IU21" s="34"/>
      <c r="IV21" s="31"/>
      <c r="IW21" s="34"/>
      <c r="IX21" s="31"/>
      <c r="IY21" s="34"/>
      <c r="IZ21" s="31"/>
      <c r="JA21" s="34"/>
      <c r="JB21" s="36"/>
    </row>
    <row r="22" spans="1:262" ht="30" customHeight="1" x14ac:dyDescent="0.25">
      <c r="A22" s="26" t="s">
        <v>988</v>
      </c>
      <c r="B22" s="48" t="str">
        <f t="shared" si="0"/>
        <v>1st Choice Development
A1 Sun Inc.
Advanced Alternative Energy Solutions
Albion Power Company
Alpha Energy Management, Inc.
Ambrose Construction Inc
Ameresco Solar
Apollo Home Performance
Marin
Bright Power
California Solar Integrators, Inc.
California State Development
Centrica Business Solutions
Citadel Roofing &amp; Solar
Clean Factor Energy
Climate Solar Solution
Climatec
Cobalt Power Systems, Inc.
Communication Infrastructure Corporation (CIC)
Cool Earth Solar
Corona Solar
DC Solar Electric, Inc
Earthwise Energy Solutions
EDF Renewables Distributed Solutions
Enable Energy, Inc.
Enel X North America
Energy Independence Group
Engie Services US
Fairfax Solar
First Response Solar
ForeFront Power
Freevolt
Fresco Solar
Gold Rush Energy Solutions
Golden Bear Solar, Inc.
Green Water and Power
Green Wolf Energy
GRID Alternatives
GS Homes
Horizon Solar Power
Hot Watts Technology
Huffman Solar
Ilum Solar
Infinity Energy Inc
Innovative Energy Systems (IES)
J&amp;J Electric DBA Vital Energy Solutions, LLC
Kota Construction
Kuubix Energy, Inc.
LA Solar Group
Laibach Solar
LLUMETEC
Mack Electric/Gardner Energy
Mei renewables Inc
MEI Renewables, Inc.
Michael &amp; Sun Solar Inc
North State Solar Energy Construction
Northern Pacific Power Systems
NRG Clean Power
Occidel Power Solar and Cogen
Pac Solar Corporation
Pacific Rim ConstructioRAM SOLAR
PacificWest Energy Solutions, Inc.
Photon Brothers
Promise Energy Inc
Pure Power Solutions
Quality Home Services
REC Solar
Sage Energy Consulting
Sarter Construction &amp; Design, Inc / Off the Grid Design / Sol Lux Alpha
Save a Lot Solar
Semper Solaris
Simmitri, Inc
Skytech Solar
Solar Craft
Solar Gain West LLC
Solar Optimum Inc
Solar Pros Inc.
Solar Savings Direct
Solarcraft
SolarWinds Energy
SonoMarin Solar &amp; Electric
Spreck Energy
Starseed Electric
Stem, Inc.
Stronghold Engineering
Sun Light &amp; Power
Sun Power by Ambrose
Sungenix Energy Solutions
Sunnova Energy
SunPower by Hooked On Solar
SunPower Corporation
Suntegrity Solar
Sunterra Solar Inc
Sunworks
Sustainable Technologies
Swell Energy
Symmetric Energy / Solar Winds Energy
Synergy Power
Urban Energy Inc
V3 Electric Inc
Vivint Solar
West Coast Solar
Westcoast Solar Energy
Xero Solar
Your Energy Source (YES)
Zero Energy Associates</v>
      </c>
      <c r="C22" s="29" t="s">
        <v>857</v>
      </c>
      <c r="D22" s="31"/>
      <c r="E22" s="34"/>
      <c r="F22" s="31" t="s">
        <v>214</v>
      </c>
      <c r="G22" s="34"/>
      <c r="H22" s="31" t="s">
        <v>71</v>
      </c>
      <c r="I22" s="34"/>
      <c r="J22" s="31"/>
      <c r="K22" s="34" t="s">
        <v>458</v>
      </c>
      <c r="L22" s="31"/>
      <c r="M22" s="34"/>
      <c r="N22" s="30" t="s">
        <v>1295</v>
      </c>
      <c r="O22" s="34"/>
      <c r="P22" s="31"/>
      <c r="Q22" s="34"/>
      <c r="R22" s="31"/>
      <c r="S22" s="34" t="s">
        <v>87</v>
      </c>
      <c r="T22" s="31" t="s">
        <v>427</v>
      </c>
      <c r="U22" s="34" t="s">
        <v>915</v>
      </c>
      <c r="V22" s="31" t="s">
        <v>988</v>
      </c>
      <c r="W22" s="34"/>
      <c r="X22" s="31"/>
      <c r="Y22" s="34"/>
      <c r="Z22" s="31"/>
      <c r="AA22" s="34"/>
      <c r="AB22" s="31"/>
      <c r="AC22" s="34"/>
      <c r="AD22" s="31"/>
      <c r="AE22" s="34"/>
      <c r="AF22" s="31"/>
      <c r="AG22" s="34"/>
      <c r="AH22" s="31"/>
      <c r="AI22" s="34" t="s">
        <v>202</v>
      </c>
      <c r="AJ22" s="31"/>
      <c r="AK22" s="34"/>
      <c r="AL22" s="31"/>
      <c r="AM22" s="34"/>
      <c r="AN22" s="31"/>
      <c r="AO22" s="34" t="s">
        <v>497</v>
      </c>
      <c r="AP22" s="31" t="s">
        <v>1231</v>
      </c>
      <c r="AQ22" s="34"/>
      <c r="AR22" s="31"/>
      <c r="AS22" s="34" t="s">
        <v>60</v>
      </c>
      <c r="AT22" s="31"/>
      <c r="AU22" s="34"/>
      <c r="AV22" s="31" t="s">
        <v>199</v>
      </c>
      <c r="AW22" s="34" t="s">
        <v>865</v>
      </c>
      <c r="AX22" s="31"/>
      <c r="AY22" s="34"/>
      <c r="AZ22" s="31" t="s">
        <v>397</v>
      </c>
      <c r="BA22" s="34" t="s">
        <v>351</v>
      </c>
      <c r="BB22" s="31"/>
      <c r="BC22" s="34"/>
      <c r="BD22" s="31" t="s">
        <v>304</v>
      </c>
      <c r="BE22" s="34" t="s">
        <v>1215</v>
      </c>
      <c r="BF22" s="31" t="s">
        <v>529</v>
      </c>
      <c r="BG22" s="34" t="s">
        <v>911</v>
      </c>
      <c r="BH22" s="31"/>
      <c r="BI22" s="34"/>
      <c r="BJ22" s="31" t="s">
        <v>321</v>
      </c>
      <c r="BK22" s="34"/>
      <c r="BL22" s="31"/>
      <c r="BM22" s="34"/>
      <c r="BN22" s="31" t="s">
        <v>258</v>
      </c>
      <c r="BO22" s="34"/>
      <c r="BP22" s="31"/>
      <c r="BQ22" s="34" t="s">
        <v>391</v>
      </c>
      <c r="BR22" s="31"/>
      <c r="BS22" s="34"/>
      <c r="BT22" s="31"/>
      <c r="BU22" s="34"/>
      <c r="BV22" s="31" t="s">
        <v>330</v>
      </c>
      <c r="BW22" s="34" t="s">
        <v>532</v>
      </c>
      <c r="BX22" s="31" t="s">
        <v>280</v>
      </c>
      <c r="BY22" s="34"/>
      <c r="BZ22" s="31"/>
      <c r="CA22" s="34" t="s">
        <v>853</v>
      </c>
      <c r="CB22" s="31" t="s">
        <v>1216</v>
      </c>
      <c r="CC22" s="34"/>
      <c r="CD22" s="31" t="s">
        <v>526</v>
      </c>
      <c r="CE22" s="34" t="s">
        <v>275</v>
      </c>
      <c r="CF22" s="31" t="s">
        <v>253</v>
      </c>
      <c r="CG22" s="34"/>
      <c r="CH22" s="31" t="s">
        <v>929</v>
      </c>
      <c r="CI22" s="34"/>
      <c r="CJ22" s="31"/>
      <c r="CK22" s="34"/>
      <c r="CL22" s="31"/>
      <c r="CM22" s="34"/>
      <c r="CN22" s="31" t="s">
        <v>487</v>
      </c>
      <c r="CO22" s="34" t="s">
        <v>307</v>
      </c>
      <c r="CP22" s="31"/>
      <c r="CQ22" s="34"/>
      <c r="CR22" s="31"/>
      <c r="CS22" s="34" t="s">
        <v>892</v>
      </c>
      <c r="CT22" s="31" t="s">
        <v>494</v>
      </c>
      <c r="CU22" s="34" t="s">
        <v>99</v>
      </c>
      <c r="CV22" s="31" t="s">
        <v>852</v>
      </c>
      <c r="CW22" s="34"/>
      <c r="CX22" s="31"/>
      <c r="CY22" s="34"/>
      <c r="CZ22" s="31"/>
      <c r="DA22" s="34"/>
      <c r="DB22" s="31"/>
      <c r="DC22" s="34"/>
      <c r="DD22" s="31"/>
      <c r="DE22" s="34" t="s">
        <v>134</v>
      </c>
      <c r="DF22" s="31"/>
      <c r="DG22" s="34" t="s">
        <v>37</v>
      </c>
      <c r="DH22" s="31" t="s">
        <v>220</v>
      </c>
      <c r="DI22" s="34"/>
      <c r="DJ22" s="31" t="s">
        <v>272</v>
      </c>
      <c r="DK22" s="34"/>
      <c r="DL22" s="31" t="s">
        <v>428</v>
      </c>
      <c r="DM22" s="34"/>
      <c r="DN22" s="31" t="s">
        <v>868</v>
      </c>
      <c r="DO22" s="34" t="s">
        <v>234</v>
      </c>
      <c r="DP22" s="31"/>
      <c r="DQ22" s="34"/>
      <c r="DR22" s="31"/>
      <c r="DS22" s="34"/>
      <c r="DT22" s="31"/>
      <c r="DU22" s="34" t="s">
        <v>267</v>
      </c>
      <c r="DV22" s="31" t="s">
        <v>109</v>
      </c>
      <c r="DW22" s="34" t="s">
        <v>895</v>
      </c>
      <c r="DX22" s="31" t="s">
        <v>932</v>
      </c>
      <c r="DY22" s="34"/>
      <c r="DZ22" s="31"/>
      <c r="EA22" s="34" t="s">
        <v>595</v>
      </c>
      <c r="EB22" s="31"/>
      <c r="EC22" s="34"/>
      <c r="ED22" s="31"/>
      <c r="EE22" s="34" t="s">
        <v>83</v>
      </c>
      <c r="EF22" s="31" t="s">
        <v>357</v>
      </c>
      <c r="EG22" s="34" t="s">
        <v>413</v>
      </c>
      <c r="EH22" s="31" t="s">
        <v>250</v>
      </c>
      <c r="EI22" s="34"/>
      <c r="EJ22" s="31"/>
      <c r="EK22" s="34"/>
      <c r="EL22" s="31"/>
      <c r="EM22" s="34"/>
      <c r="EN22" s="31"/>
      <c r="EO22" s="34"/>
      <c r="EP22" s="31"/>
      <c r="EQ22" s="34" t="s">
        <v>363</v>
      </c>
      <c r="ER22" s="31" t="s">
        <v>468</v>
      </c>
      <c r="ES22" s="34" t="s">
        <v>935</v>
      </c>
      <c r="ET22" s="31" t="s">
        <v>1036</v>
      </c>
      <c r="EU22" s="34"/>
      <c r="EV22" s="31" t="s">
        <v>286</v>
      </c>
      <c r="EW22" s="34" t="s">
        <v>983</v>
      </c>
      <c r="EX22" s="31"/>
      <c r="EY22" s="34" t="s">
        <v>559</v>
      </c>
      <c r="EZ22" s="31"/>
      <c r="FA22" s="34"/>
      <c r="FB22" s="31" t="s">
        <v>921</v>
      </c>
      <c r="FC22" s="34"/>
      <c r="FD22" s="31" t="s">
        <v>484</v>
      </c>
      <c r="FE22" s="34" t="s">
        <v>909</v>
      </c>
      <c r="FF22" s="31" t="s">
        <v>439</v>
      </c>
      <c r="FG22" s="34"/>
      <c r="FH22" s="31"/>
      <c r="FI22" s="34" t="s">
        <v>354</v>
      </c>
      <c r="FJ22" s="31"/>
      <c r="FK22" s="34"/>
      <c r="FL22" s="31"/>
      <c r="FM22" s="34"/>
      <c r="FN22" s="31" t="s">
        <v>465</v>
      </c>
      <c r="FO22" s="34"/>
      <c r="FP22" s="31"/>
      <c r="FQ22" s="34" t="s">
        <v>171</v>
      </c>
      <c r="FR22" s="31"/>
      <c r="FS22" s="38" t="s">
        <v>237</v>
      </c>
      <c r="FT22" s="39"/>
      <c r="FU22" s="34" t="s">
        <v>630</v>
      </c>
      <c r="FV22" s="31"/>
      <c r="FW22" s="34"/>
      <c r="FX22" s="31"/>
      <c r="FY22" s="34" t="s">
        <v>562</v>
      </c>
      <c r="FZ22" s="31"/>
      <c r="GA22" s="34"/>
      <c r="GB22" s="31"/>
      <c r="GC22" s="34"/>
      <c r="GD22" s="31" t="s">
        <v>64</v>
      </c>
      <c r="GE22" s="34"/>
      <c r="GF22" s="31"/>
      <c r="GG22" s="34" t="s">
        <v>864</v>
      </c>
      <c r="GH22" s="31"/>
      <c r="GI22" s="34" t="s">
        <v>454</v>
      </c>
      <c r="GJ22" s="31"/>
      <c r="GK22" s="34"/>
      <c r="GL22" s="31" t="s">
        <v>106</v>
      </c>
      <c r="GM22" s="34" t="s">
        <v>501</v>
      </c>
      <c r="GN22" s="31"/>
      <c r="GO22" s="34" t="s">
        <v>96</v>
      </c>
      <c r="GP22" s="31"/>
      <c r="GQ22" s="34"/>
      <c r="GR22" s="31" t="s">
        <v>318</v>
      </c>
      <c r="GS22" s="34"/>
      <c r="GT22" s="31"/>
      <c r="GU22" s="34"/>
      <c r="GV22" s="31"/>
      <c r="GW22" s="34" t="s">
        <v>227</v>
      </c>
      <c r="GX22" s="31"/>
      <c r="GY22" s="34" t="s">
        <v>556</v>
      </c>
      <c r="GZ22" s="31" t="s">
        <v>894</v>
      </c>
      <c r="HA22" s="34"/>
      <c r="HB22" s="31" t="s">
        <v>333</v>
      </c>
      <c r="HC22" s="34"/>
      <c r="HD22" s="30" t="s">
        <v>102</v>
      </c>
      <c r="HE22" s="34" t="s">
        <v>901</v>
      </c>
      <c r="HF22" s="31" t="s">
        <v>337</v>
      </c>
      <c r="HG22" s="34" t="s">
        <v>925</v>
      </c>
      <c r="HH22" s="31"/>
      <c r="HI22" s="34"/>
      <c r="HJ22" s="31"/>
      <c r="HK22" s="34" t="s">
        <v>77</v>
      </c>
      <c r="HL22" s="31"/>
      <c r="HM22" s="34"/>
      <c r="HN22" s="31"/>
      <c r="HO22" s="34" t="s">
        <v>523</v>
      </c>
      <c r="HP22" s="31"/>
      <c r="HQ22" s="34" t="s">
        <v>1303</v>
      </c>
      <c r="HR22" s="31"/>
      <c r="HS22" s="34" t="s">
        <v>195</v>
      </c>
      <c r="HT22" s="31"/>
      <c r="HU22" s="34"/>
      <c r="HV22" s="31"/>
      <c r="HW22" s="34" t="s">
        <v>913</v>
      </c>
      <c r="HX22" s="39" t="s">
        <v>163</v>
      </c>
      <c r="HY22" s="39" t="s">
        <v>877</v>
      </c>
      <c r="HZ22" s="31"/>
      <c r="IA22" s="34" t="s">
        <v>544</v>
      </c>
      <c r="IB22" s="31"/>
      <c r="IC22" s="34" t="s">
        <v>856</v>
      </c>
      <c r="ID22" s="31" t="s">
        <v>118</v>
      </c>
      <c r="IE22" s="34"/>
      <c r="IF22" s="31" t="s">
        <v>513</v>
      </c>
      <c r="IG22" s="34"/>
      <c r="IH22" s="31"/>
      <c r="II22" s="34"/>
      <c r="IJ22" s="31"/>
      <c r="IK22" s="34"/>
      <c r="IL22" s="31" t="s">
        <v>80</v>
      </c>
      <c r="IM22" s="34" t="s">
        <v>175</v>
      </c>
      <c r="IN22" s="31"/>
      <c r="IO22" s="34"/>
      <c r="IP22" s="31" t="s">
        <v>45</v>
      </c>
      <c r="IQ22" s="34"/>
      <c r="IR22" s="31"/>
      <c r="IS22" s="34"/>
      <c r="IT22" s="31" t="s">
        <v>855</v>
      </c>
      <c r="IU22" s="34" t="s">
        <v>480</v>
      </c>
      <c r="IV22" s="31"/>
      <c r="IW22" s="34"/>
      <c r="IX22" s="31" t="s">
        <v>344</v>
      </c>
      <c r="IY22" s="34"/>
      <c r="IZ22" s="31"/>
      <c r="JA22" s="34" t="s">
        <v>871</v>
      </c>
      <c r="JB22" s="36" t="s">
        <v>885</v>
      </c>
    </row>
    <row r="23" spans="1:262" ht="30" customHeight="1" x14ac:dyDescent="0.25">
      <c r="A23" s="27" t="s">
        <v>1253</v>
      </c>
      <c r="B23" s="48" t="str">
        <f t="shared" si="0"/>
        <v>1st Choice Development
Alpha Energy Management, Inc.
Ameresco Solar
Apollo Home Performance
Bright Power
California Solar Integrators, Inc.
California State Development
Centrica Business Solutions
Chico Electric
Climatec
Communication Infrastructure Corporation (CIC)
DC Solar Electric, Inc
EDF Renewables Distributed Solutions
Enable Energy, Inc.
Enel X North America
Energy Independence Group
Engie Services US
ForeFront Power
Freevolt
Gold Rush Energy Solutions
Golden State Power
Green Water and Power
Green Wolf Energy
GRID Alternatives
GS Homes
Horizon Solar Power
Ilum Solar
Infinity Energy Inc
Kota Construction
Kuubix Energy, Inc.
LA Solar Group
LLUMETEC
Mack Electric/Gardner Energy
NRG Clean Power
Pacific Rim ConstructioRAM SOLAR
Promise Energy Inc
Quality Home Services
REC Solar
Revel Energy
Sage Energy Consulting
SIG Solar
Solar Gain West LLC
Solar Maintenance Pros
Solar Pros Inc.
Solar Savings Direct
SolTek Industries Inc.
Spreck Energy
Stem, Inc.
Stronghold Engineering
Sunnova Energy
SunPower by Hooked On Solar
SunPower by Quality Home Services
SunPower Corporation
Sunterra Solar Inc
Sunworks
Swell Energy
Trinity Power
Vivint Solar
Xero Solar</v>
      </c>
      <c r="C23" s="29" t="s">
        <v>857</v>
      </c>
      <c r="D23" s="31"/>
      <c r="E23" s="34"/>
      <c r="F23" s="31"/>
      <c r="G23" s="34"/>
      <c r="H23" s="31"/>
      <c r="I23" s="34"/>
      <c r="J23" s="31"/>
      <c r="K23" s="34"/>
      <c r="L23" s="31"/>
      <c r="M23" s="34"/>
      <c r="N23" s="30" t="s">
        <v>1295</v>
      </c>
      <c r="O23" s="34"/>
      <c r="P23" s="31"/>
      <c r="Q23" s="34"/>
      <c r="R23" s="31"/>
      <c r="S23" s="34"/>
      <c r="T23" s="31" t="s">
        <v>427</v>
      </c>
      <c r="U23" s="34" t="s">
        <v>915</v>
      </c>
      <c r="V23" s="31"/>
      <c r="W23" s="34"/>
      <c r="X23" s="31"/>
      <c r="Y23" s="34"/>
      <c r="Z23" s="31"/>
      <c r="AA23" s="34"/>
      <c r="AB23" s="31"/>
      <c r="AC23" s="34"/>
      <c r="AD23" s="31"/>
      <c r="AE23" s="34"/>
      <c r="AF23" s="31"/>
      <c r="AG23" s="34"/>
      <c r="AH23" s="31"/>
      <c r="AI23" s="34" t="s">
        <v>202</v>
      </c>
      <c r="AJ23" s="31"/>
      <c r="AK23" s="34"/>
      <c r="AL23" s="31"/>
      <c r="AM23" s="34"/>
      <c r="AN23" s="31"/>
      <c r="AO23" s="34" t="s">
        <v>497</v>
      </c>
      <c r="AP23" s="31" t="s">
        <v>1231</v>
      </c>
      <c r="AQ23" s="34"/>
      <c r="AR23" s="31"/>
      <c r="AS23" s="34" t="s">
        <v>60</v>
      </c>
      <c r="AT23" s="31" t="s">
        <v>205</v>
      </c>
      <c r="AU23" s="34"/>
      <c r="AV23" s="31"/>
      <c r="AW23" s="34"/>
      <c r="AX23" s="31"/>
      <c r="AY23" s="34"/>
      <c r="AZ23" s="31"/>
      <c r="BA23" s="34" t="s">
        <v>351</v>
      </c>
      <c r="BB23" s="31"/>
      <c r="BC23" s="34"/>
      <c r="BD23" s="31"/>
      <c r="BE23" s="34" t="s">
        <v>1215</v>
      </c>
      <c r="BF23" s="31"/>
      <c r="BG23" s="34"/>
      <c r="BH23" s="31"/>
      <c r="BI23" s="34"/>
      <c r="BJ23" s="31" t="s">
        <v>321</v>
      </c>
      <c r="BK23" s="34"/>
      <c r="BL23" s="31"/>
      <c r="BM23" s="34"/>
      <c r="BN23" s="31"/>
      <c r="BO23" s="34"/>
      <c r="BP23" s="31"/>
      <c r="BQ23" s="34" t="s">
        <v>391</v>
      </c>
      <c r="BR23" s="31"/>
      <c r="BS23" s="34"/>
      <c r="BT23" s="31"/>
      <c r="BU23" s="34"/>
      <c r="BV23" s="31" t="s">
        <v>330</v>
      </c>
      <c r="BW23" s="34" t="s">
        <v>532</v>
      </c>
      <c r="BX23" s="31" t="s">
        <v>280</v>
      </c>
      <c r="BY23" s="34"/>
      <c r="BZ23" s="31"/>
      <c r="CA23" s="34" t="s">
        <v>853</v>
      </c>
      <c r="CB23" s="31"/>
      <c r="CC23" s="34"/>
      <c r="CD23" s="31"/>
      <c r="CE23" s="34" t="s">
        <v>275</v>
      </c>
      <c r="CF23" s="31" t="s">
        <v>253</v>
      </c>
      <c r="CG23" s="34"/>
      <c r="CH23" s="31"/>
      <c r="CI23" s="34"/>
      <c r="CJ23" s="31"/>
      <c r="CK23" s="34"/>
      <c r="CL23" s="31"/>
      <c r="CM23" s="34"/>
      <c r="CN23" s="31" t="s">
        <v>487</v>
      </c>
      <c r="CO23" s="34"/>
      <c r="CP23" s="31" t="s">
        <v>296</v>
      </c>
      <c r="CQ23" s="34"/>
      <c r="CR23" s="31"/>
      <c r="CS23" s="34" t="s">
        <v>892</v>
      </c>
      <c r="CT23" s="31" t="s">
        <v>494</v>
      </c>
      <c r="CU23" s="34" t="s">
        <v>99</v>
      </c>
      <c r="CV23" s="31" t="s">
        <v>852</v>
      </c>
      <c r="CW23" s="34"/>
      <c r="CX23" s="31"/>
      <c r="CY23" s="34"/>
      <c r="CZ23" s="31"/>
      <c r="DA23" s="34"/>
      <c r="DB23" s="31"/>
      <c r="DC23" s="34"/>
      <c r="DD23" s="31"/>
      <c r="DE23" s="34" t="s">
        <v>134</v>
      </c>
      <c r="DF23" s="31"/>
      <c r="DG23" s="34"/>
      <c r="DH23" s="31"/>
      <c r="DI23" s="34"/>
      <c r="DJ23" s="31" t="s">
        <v>272</v>
      </c>
      <c r="DK23" s="34"/>
      <c r="DL23" s="31" t="s">
        <v>428</v>
      </c>
      <c r="DM23" s="34"/>
      <c r="DN23" s="31"/>
      <c r="DO23" s="34"/>
      <c r="DP23" s="31"/>
      <c r="DQ23" s="34"/>
      <c r="DR23" s="31"/>
      <c r="DS23" s="34"/>
      <c r="DT23" s="31"/>
      <c r="DU23" s="34" t="s">
        <v>267</v>
      </c>
      <c r="DV23" s="31" t="s">
        <v>109</v>
      </c>
      <c r="DW23" s="34" t="s">
        <v>895</v>
      </c>
      <c r="DX23" s="31"/>
      <c r="DY23" s="34"/>
      <c r="DZ23" s="31"/>
      <c r="EA23" s="34" t="s">
        <v>595</v>
      </c>
      <c r="EB23" s="31"/>
      <c r="EC23" s="34"/>
      <c r="ED23" s="31"/>
      <c r="EE23" s="34" t="s">
        <v>83</v>
      </c>
      <c r="EF23" s="31"/>
      <c r="EG23" s="34"/>
      <c r="EH23" s="31"/>
      <c r="EI23" s="34"/>
      <c r="EJ23" s="31"/>
      <c r="EK23" s="34"/>
      <c r="EL23" s="31"/>
      <c r="EM23" s="34"/>
      <c r="EN23" s="31"/>
      <c r="EO23" s="34"/>
      <c r="EP23" s="31"/>
      <c r="EQ23" s="34"/>
      <c r="ER23" s="31"/>
      <c r="ES23" s="34" t="s">
        <v>935</v>
      </c>
      <c r="ET23" s="31"/>
      <c r="EU23" s="34"/>
      <c r="EV23" s="31"/>
      <c r="EW23" s="34" t="s">
        <v>983</v>
      </c>
      <c r="EX23" s="31"/>
      <c r="EY23" s="34"/>
      <c r="EZ23" s="31"/>
      <c r="FA23" s="34"/>
      <c r="FB23" s="31"/>
      <c r="FC23" s="34"/>
      <c r="FD23" s="31" t="s">
        <v>484</v>
      </c>
      <c r="FE23" s="34"/>
      <c r="FF23" s="31" t="s">
        <v>439</v>
      </c>
      <c r="FG23" s="34"/>
      <c r="FH23" s="31"/>
      <c r="FI23" s="34" t="s">
        <v>354</v>
      </c>
      <c r="FJ23" s="31"/>
      <c r="FK23" s="34" t="s">
        <v>341</v>
      </c>
      <c r="FL23" s="31"/>
      <c r="FM23" s="34"/>
      <c r="FN23" s="31" t="s">
        <v>465</v>
      </c>
      <c r="FO23" s="34"/>
      <c r="FP23" s="31"/>
      <c r="FQ23" s="34"/>
      <c r="FR23" s="31"/>
      <c r="FS23" s="39"/>
      <c r="FT23" s="39"/>
      <c r="FU23" s="34"/>
      <c r="FV23" s="31"/>
      <c r="FW23" s="34"/>
      <c r="FX23" s="31" t="s">
        <v>934</v>
      </c>
      <c r="FY23" s="34"/>
      <c r="FZ23" s="31"/>
      <c r="GA23" s="34"/>
      <c r="GB23" s="31"/>
      <c r="GC23" s="34"/>
      <c r="GD23" s="31"/>
      <c r="GE23" s="34"/>
      <c r="GF23" s="31"/>
      <c r="GG23" s="34"/>
      <c r="GH23" s="31"/>
      <c r="GI23" s="34" t="s">
        <v>454</v>
      </c>
      <c r="GJ23" s="31"/>
      <c r="GK23" s="34" t="s">
        <v>953</v>
      </c>
      <c r="GL23" s="31"/>
      <c r="GM23" s="34" t="s">
        <v>501</v>
      </c>
      <c r="GN23" s="31"/>
      <c r="GO23" s="34" t="s">
        <v>96</v>
      </c>
      <c r="GP23" s="31"/>
      <c r="GQ23" s="34"/>
      <c r="GR23" s="31"/>
      <c r="GS23" s="34"/>
      <c r="GT23" s="31"/>
      <c r="GU23" s="34"/>
      <c r="GV23" s="31"/>
      <c r="GW23" s="34"/>
      <c r="GX23" s="31" t="s">
        <v>950</v>
      </c>
      <c r="GY23" s="34"/>
      <c r="GZ23" s="31" t="s">
        <v>894</v>
      </c>
      <c r="HA23" s="34"/>
      <c r="HB23" s="31"/>
      <c r="HC23" s="34"/>
      <c r="HD23" s="30" t="s">
        <v>102</v>
      </c>
      <c r="HE23" s="34" t="s">
        <v>901</v>
      </c>
      <c r="HF23" s="31"/>
      <c r="HG23" s="34"/>
      <c r="HH23" s="31"/>
      <c r="HI23" s="34"/>
      <c r="HJ23" s="31"/>
      <c r="HK23" s="34"/>
      <c r="HL23" s="31"/>
      <c r="HM23" s="34"/>
      <c r="HN23" s="31"/>
      <c r="HO23" s="34" t="s">
        <v>523</v>
      </c>
      <c r="HP23" s="31"/>
      <c r="HQ23" s="34" t="s">
        <v>1303</v>
      </c>
      <c r="HR23" s="31" t="s">
        <v>1302</v>
      </c>
      <c r="HS23" s="34" t="s">
        <v>195</v>
      </c>
      <c r="HT23" s="31"/>
      <c r="HU23" s="34"/>
      <c r="HV23" s="31"/>
      <c r="HW23" s="34"/>
      <c r="HX23" s="39" t="s">
        <v>163</v>
      </c>
      <c r="HY23" s="39" t="s">
        <v>877</v>
      </c>
      <c r="HZ23" s="31"/>
      <c r="IA23" s="34"/>
      <c r="IB23" s="31"/>
      <c r="IC23" s="34" t="s">
        <v>856</v>
      </c>
      <c r="ID23" s="31"/>
      <c r="IE23" s="34"/>
      <c r="IF23" s="31"/>
      <c r="IG23" s="34"/>
      <c r="IH23" s="31"/>
      <c r="II23" s="34"/>
      <c r="IJ23" s="31"/>
      <c r="IK23" s="34" t="s">
        <v>937</v>
      </c>
      <c r="IL23" s="31"/>
      <c r="IM23" s="34"/>
      <c r="IN23" s="31"/>
      <c r="IO23" s="34"/>
      <c r="IP23" s="31" t="s">
        <v>45</v>
      </c>
      <c r="IQ23" s="34"/>
      <c r="IR23" s="31"/>
      <c r="IS23" s="34"/>
      <c r="IT23" s="31"/>
      <c r="IU23" s="34"/>
      <c r="IV23" s="31"/>
      <c r="IW23" s="34"/>
      <c r="IX23" s="31" t="s">
        <v>344</v>
      </c>
      <c r="IY23" s="34"/>
      <c r="IZ23" s="31"/>
      <c r="JA23" s="34"/>
      <c r="JB23" s="36"/>
    </row>
    <row r="24" spans="1:262" ht="30" customHeight="1" x14ac:dyDescent="0.25">
      <c r="A24" s="26" t="s">
        <v>1254</v>
      </c>
      <c r="B24" s="48" t="str">
        <f t="shared" si="0"/>
        <v>1st Choice Development
Advanced Alternative Energy Solutions
Alpha Energy Management, Inc.
Ameresco Solar
Apollo Home Performance
Mendocino
Bright Power
California Solar Integrators, Inc.
California State Development
Centrica Business Solutions
Clean Factor Energy
Climate Solar Solution
Climatec
Cobalt Power Systems, Inc.
Communication Infrastructure Corporation (CIC)
Corona Solar
DC Solar Electric, Inc
EDF Renewables Distributed Solutions
Elements of Earth and Energy
Enable Energy, Inc.
Enel X North America
Energy Independence Group
Energy Innovative Solutions LLC
Engie Services US
ForeFront Power
Fresh Energy Systems
Gold Rush Energy Solutions
Green Water and Power
GRID Alternatives
GS Homes
Ilum Solar
Infinity Energy Inc
Innovative Energy Systems (IES)
J&amp;J Electric DBA Vital Energy Solutions, LLC
Jonas Energy Solutions
Kota Construction
Kuubix Energy, Inc.
LA Solar Group
LLUMETEC
Mack Electric/Gardner Energy
Mei renewables Inc
MEI Renewables, Inc.
North State Solar Energy Construction
NRG Clean Power
Pacific Rim ConstructioRAM SOLAR
Promise Energy Inc
Pure Power Solutions
Radiant Solar Technology
REC Solar
Revel Energy
Sage Energy Consulting
Sarter Construction &amp; Design, Inc / Off the Grid Design / Sol Lux Alpha
Solar Gain West LLC
Solar Pros Inc.
Solar Savings Direct
SonoMarin Solar &amp; Electric
Starseed Electric
Stem, Inc.
Stronghold Engineering
Sunnova Energy
SunPower by Hooked On Solar
SunPower Corporation
Sunterra Solar Inc
Sunworks
Swell Energy
Urban Energy Inc
Vivint Solar
Wesley Hodges General Contractor (Part owner of Six Rivers Solar) 
Zero Energy Associates</v>
      </c>
      <c r="C24" s="29" t="s">
        <v>857</v>
      </c>
      <c r="D24" s="31"/>
      <c r="E24" s="34"/>
      <c r="F24" s="31"/>
      <c r="G24" s="34"/>
      <c r="H24" s="31" t="s">
        <v>71</v>
      </c>
      <c r="I24" s="34"/>
      <c r="J24" s="31"/>
      <c r="K24" s="34"/>
      <c r="L24" s="31"/>
      <c r="M24" s="34"/>
      <c r="N24" s="30" t="s">
        <v>1295</v>
      </c>
      <c r="O24" s="34"/>
      <c r="P24" s="31"/>
      <c r="Q24" s="34"/>
      <c r="R24" s="31"/>
      <c r="S24" s="34"/>
      <c r="T24" s="31" t="s">
        <v>427</v>
      </c>
      <c r="U24" s="34" t="s">
        <v>915</v>
      </c>
      <c r="V24" s="31" t="s">
        <v>1254</v>
      </c>
      <c r="W24" s="34"/>
      <c r="X24" s="31"/>
      <c r="Y24" s="34"/>
      <c r="Z24" s="31"/>
      <c r="AA24" s="34"/>
      <c r="AB24" s="31"/>
      <c r="AC24" s="34"/>
      <c r="AD24" s="31"/>
      <c r="AE24" s="34"/>
      <c r="AF24" s="31"/>
      <c r="AG24" s="34"/>
      <c r="AH24" s="31"/>
      <c r="AI24" s="34" t="s">
        <v>202</v>
      </c>
      <c r="AJ24" s="31"/>
      <c r="AK24" s="34"/>
      <c r="AL24" s="31"/>
      <c r="AM24" s="34"/>
      <c r="AN24" s="31"/>
      <c r="AO24" s="34" t="s">
        <v>497</v>
      </c>
      <c r="AP24" s="31" t="s">
        <v>1231</v>
      </c>
      <c r="AQ24" s="34"/>
      <c r="AR24" s="31"/>
      <c r="AS24" s="34" t="s">
        <v>60</v>
      </c>
      <c r="AT24" s="31"/>
      <c r="AU24" s="34"/>
      <c r="AV24" s="31"/>
      <c r="AW24" s="34" t="s">
        <v>865</v>
      </c>
      <c r="AX24" s="31"/>
      <c r="AY24" s="34"/>
      <c r="AZ24" s="31" t="s">
        <v>397</v>
      </c>
      <c r="BA24" s="34" t="s">
        <v>351</v>
      </c>
      <c r="BB24" s="31"/>
      <c r="BC24" s="34"/>
      <c r="BD24" s="31" t="s">
        <v>304</v>
      </c>
      <c r="BE24" s="34" t="s">
        <v>1215</v>
      </c>
      <c r="BF24" s="31"/>
      <c r="BG24" s="34" t="s">
        <v>911</v>
      </c>
      <c r="BH24" s="31"/>
      <c r="BI24" s="34"/>
      <c r="BJ24" s="31" t="s">
        <v>321</v>
      </c>
      <c r="BK24" s="34"/>
      <c r="BL24" s="31"/>
      <c r="BM24" s="34"/>
      <c r="BN24" s="31"/>
      <c r="BO24" s="34"/>
      <c r="BP24" s="31"/>
      <c r="BQ24" s="34" t="s">
        <v>391</v>
      </c>
      <c r="BR24" s="31"/>
      <c r="BS24" s="34"/>
      <c r="BT24" s="31" t="s">
        <v>878</v>
      </c>
      <c r="BU24" s="34"/>
      <c r="BV24" s="31" t="s">
        <v>330</v>
      </c>
      <c r="BW24" s="34" t="s">
        <v>532</v>
      </c>
      <c r="BX24" s="31" t="s">
        <v>280</v>
      </c>
      <c r="BY24" s="34" t="s">
        <v>211</v>
      </c>
      <c r="BZ24" s="31"/>
      <c r="CA24" s="34" t="s">
        <v>853</v>
      </c>
      <c r="CB24" s="31"/>
      <c r="CC24" s="34"/>
      <c r="CD24" s="31"/>
      <c r="CE24" s="34" t="s">
        <v>275</v>
      </c>
      <c r="CF24" s="31"/>
      <c r="CG24" s="34"/>
      <c r="CH24" s="31"/>
      <c r="CI24" s="34" t="s">
        <v>876</v>
      </c>
      <c r="CJ24" s="31"/>
      <c r="CK24" s="34"/>
      <c r="CL24" s="31"/>
      <c r="CM24" s="34"/>
      <c r="CN24" s="31" t="s">
        <v>487</v>
      </c>
      <c r="CO24" s="34"/>
      <c r="CP24" s="31"/>
      <c r="CQ24" s="34"/>
      <c r="CR24" s="31"/>
      <c r="CS24" s="34" t="s">
        <v>892</v>
      </c>
      <c r="CT24" s="31"/>
      <c r="CU24" s="34" t="s">
        <v>99</v>
      </c>
      <c r="CV24" s="31" t="s">
        <v>852</v>
      </c>
      <c r="CW24" s="34"/>
      <c r="CX24" s="31"/>
      <c r="CY24" s="34"/>
      <c r="CZ24" s="31"/>
      <c r="DA24" s="34"/>
      <c r="DB24" s="31"/>
      <c r="DC24" s="34"/>
      <c r="DD24" s="31"/>
      <c r="DE24" s="34"/>
      <c r="DF24" s="31"/>
      <c r="DG24" s="34"/>
      <c r="DH24" s="31"/>
      <c r="DI24" s="34"/>
      <c r="DJ24" s="31" t="s">
        <v>272</v>
      </c>
      <c r="DK24" s="34"/>
      <c r="DL24" s="31" t="s">
        <v>428</v>
      </c>
      <c r="DM24" s="34"/>
      <c r="DN24" s="31" t="s">
        <v>868</v>
      </c>
      <c r="DO24" s="34" t="s">
        <v>234</v>
      </c>
      <c r="DP24" s="31"/>
      <c r="DQ24" s="34"/>
      <c r="DR24" s="31" t="s">
        <v>908</v>
      </c>
      <c r="DS24" s="34"/>
      <c r="DT24" s="31"/>
      <c r="DU24" s="34" t="s">
        <v>267</v>
      </c>
      <c r="DV24" s="31" t="s">
        <v>109</v>
      </c>
      <c r="DW24" s="34" t="s">
        <v>895</v>
      </c>
      <c r="DX24" s="31"/>
      <c r="DY24" s="34"/>
      <c r="DZ24" s="31"/>
      <c r="EA24" s="34" t="s">
        <v>595</v>
      </c>
      <c r="EB24" s="31"/>
      <c r="EC24" s="34"/>
      <c r="ED24" s="31"/>
      <c r="EE24" s="34" t="s">
        <v>83</v>
      </c>
      <c r="EF24" s="31" t="s">
        <v>357</v>
      </c>
      <c r="EG24" s="34" t="s">
        <v>413</v>
      </c>
      <c r="EH24" s="31"/>
      <c r="EI24" s="34"/>
      <c r="EJ24" s="31"/>
      <c r="EK24" s="34"/>
      <c r="EL24" s="31"/>
      <c r="EM24" s="34"/>
      <c r="EN24" s="31"/>
      <c r="EO24" s="34"/>
      <c r="EP24" s="31"/>
      <c r="EQ24" s="34" t="s">
        <v>363</v>
      </c>
      <c r="ER24" s="31"/>
      <c r="ES24" s="34" t="s">
        <v>935</v>
      </c>
      <c r="ET24" s="31"/>
      <c r="EU24" s="34"/>
      <c r="EV24" s="31"/>
      <c r="EW24" s="34" t="s">
        <v>983</v>
      </c>
      <c r="EX24" s="31"/>
      <c r="EY24" s="34"/>
      <c r="EZ24" s="31"/>
      <c r="FA24" s="34"/>
      <c r="FB24" s="31"/>
      <c r="FC24" s="34"/>
      <c r="FD24" s="31" t="s">
        <v>484</v>
      </c>
      <c r="FE24" s="34" t="s">
        <v>909</v>
      </c>
      <c r="FF24" s="31"/>
      <c r="FG24" s="34"/>
      <c r="FH24" s="31" t="s">
        <v>423</v>
      </c>
      <c r="FI24" s="34" t="s">
        <v>354</v>
      </c>
      <c r="FJ24" s="31"/>
      <c r="FK24" s="34" t="s">
        <v>341</v>
      </c>
      <c r="FL24" s="31"/>
      <c r="FM24" s="34"/>
      <c r="FN24" s="31" t="s">
        <v>465</v>
      </c>
      <c r="FO24" s="34"/>
      <c r="FP24" s="31"/>
      <c r="FQ24" s="34" t="s">
        <v>171</v>
      </c>
      <c r="FR24" s="31"/>
      <c r="FS24" s="39"/>
      <c r="FT24" s="39"/>
      <c r="FU24" s="34"/>
      <c r="FV24" s="31"/>
      <c r="FW24" s="34"/>
      <c r="FX24" s="31"/>
      <c r="FY24" s="34"/>
      <c r="FZ24" s="31"/>
      <c r="GA24" s="34"/>
      <c r="GB24" s="31"/>
      <c r="GC24" s="34"/>
      <c r="GD24" s="31"/>
      <c r="GE24" s="34"/>
      <c r="GF24" s="31"/>
      <c r="GG24" s="34"/>
      <c r="GH24" s="31"/>
      <c r="GI24" s="34" t="s">
        <v>454</v>
      </c>
      <c r="GJ24" s="31"/>
      <c r="GK24" s="34"/>
      <c r="GL24" s="31"/>
      <c r="GM24" s="34" t="s">
        <v>501</v>
      </c>
      <c r="GN24" s="31"/>
      <c r="GO24" s="34" t="s">
        <v>96</v>
      </c>
      <c r="GP24" s="31"/>
      <c r="GQ24" s="34"/>
      <c r="GR24" s="31"/>
      <c r="GS24" s="34"/>
      <c r="GT24" s="31"/>
      <c r="GU24" s="34"/>
      <c r="GV24" s="31"/>
      <c r="GW24" s="34"/>
      <c r="GX24" s="31"/>
      <c r="GY24" s="34" t="s">
        <v>556</v>
      </c>
      <c r="GZ24" s="31"/>
      <c r="HA24" s="34"/>
      <c r="HB24" s="31" t="s">
        <v>333</v>
      </c>
      <c r="HC24" s="34"/>
      <c r="HD24" s="30" t="s">
        <v>102</v>
      </c>
      <c r="HE24" s="34" t="s">
        <v>901</v>
      </c>
      <c r="HF24" s="31"/>
      <c r="HG24" s="34"/>
      <c r="HH24" s="31"/>
      <c r="HI24" s="34"/>
      <c r="HJ24" s="31"/>
      <c r="HK24" s="34"/>
      <c r="HL24" s="31"/>
      <c r="HM24" s="34"/>
      <c r="HN24" s="31"/>
      <c r="HO24" s="34" t="s">
        <v>523</v>
      </c>
      <c r="HP24" s="31"/>
      <c r="HQ24" s="34" t="s">
        <v>1303</v>
      </c>
      <c r="HR24" s="31"/>
      <c r="HS24" s="34" t="s">
        <v>195</v>
      </c>
      <c r="HT24" s="31"/>
      <c r="HU24" s="34"/>
      <c r="HV24" s="31"/>
      <c r="HW24" s="34"/>
      <c r="HX24" s="39" t="s">
        <v>163</v>
      </c>
      <c r="HY24" s="39" t="s">
        <v>877</v>
      </c>
      <c r="HZ24" s="31"/>
      <c r="IA24" s="34"/>
      <c r="IB24" s="31"/>
      <c r="IC24" s="34" t="s">
        <v>856</v>
      </c>
      <c r="ID24" s="31"/>
      <c r="IE24" s="34"/>
      <c r="IF24" s="31"/>
      <c r="IG24" s="34"/>
      <c r="IH24" s="31"/>
      <c r="II24" s="34"/>
      <c r="IJ24" s="31"/>
      <c r="IK24" s="34"/>
      <c r="IL24" s="31" t="s">
        <v>80</v>
      </c>
      <c r="IM24" s="34"/>
      <c r="IN24" s="31"/>
      <c r="IO24" s="34"/>
      <c r="IP24" s="31" t="s">
        <v>45</v>
      </c>
      <c r="IQ24" s="34"/>
      <c r="IR24" s="31"/>
      <c r="IS24" s="34" t="s">
        <v>1226</v>
      </c>
      <c r="IT24" s="31"/>
      <c r="IU24" s="34"/>
      <c r="IV24" s="31"/>
      <c r="IW24" s="34"/>
      <c r="IX24" s="31"/>
      <c r="IY24" s="34"/>
      <c r="IZ24" s="31"/>
      <c r="JA24" s="34"/>
      <c r="JB24" s="36" t="s">
        <v>885</v>
      </c>
    </row>
    <row r="25" spans="1:262" ht="30" customHeight="1" x14ac:dyDescent="0.25">
      <c r="A25" s="27" t="s">
        <v>1255</v>
      </c>
      <c r="B25" s="48" t="str">
        <f t="shared" si="0"/>
        <v>1st Choice Development
Alpha Energy Management, Inc.
AltSys Solar Incorporated
Ameresco Solar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Gold Rush Energy Solutions
Golden Bear Solar, Inc.
Golden State Power
Green Water and Power
GRID Alternatives
GS Homes
Horizon Solar Power
Ilum Solar
Infinity Energy Inc
Kota Construction
Kuubix Energy, Inc.
LA Solar Group
Laibach Solar
LLUMETEC
Mack Electric/Gardner Energy
North State Solar Energy Construction
NRG Clean Power
Pacific Rim ConstructioRAM SOLAR
Promise Energy Inc
Quality Home Services
REC Solar
RHA
Sage Energy Consulting
Semper Solaris
SIG Solar
Solar Gain West LLC
Solar Maintenance Pros
Solar Optimum Inc
Solar Pros Inc.
Solar Savings Direct
SolTek Industries Inc.
Spreck Energy
Stem, Inc.
Stronghold Engineering
Sunnova Energy
SunPower by Hooked On Solar
SunPower by Quality Home Services
SunPower Corporation
Sunstreet
Sunterra Solar Inc
Sunworks
Swell Energy
Trinity Power
V3 Electric Inc
Vivint Solar
Your Energy Source (YES)</v>
      </c>
      <c r="C25" s="29" t="s">
        <v>857</v>
      </c>
      <c r="D25" s="31"/>
      <c r="E25" s="34"/>
      <c r="F25" s="31"/>
      <c r="G25" s="34"/>
      <c r="H25" s="31"/>
      <c r="I25" s="34"/>
      <c r="J25" s="31"/>
      <c r="K25" s="34"/>
      <c r="L25" s="31"/>
      <c r="M25" s="34"/>
      <c r="N25" s="30" t="s">
        <v>1295</v>
      </c>
      <c r="O25" s="34"/>
      <c r="P25" s="31"/>
      <c r="Q25" s="34" t="s">
        <v>881</v>
      </c>
      <c r="R25" s="31"/>
      <c r="S25" s="34"/>
      <c r="T25" s="31" t="s">
        <v>427</v>
      </c>
      <c r="U25" s="34" t="s">
        <v>915</v>
      </c>
      <c r="V25" s="31"/>
      <c r="W25" s="34"/>
      <c r="X25" s="31"/>
      <c r="Y25" s="34"/>
      <c r="Z25" s="31"/>
      <c r="AA25" s="34"/>
      <c r="AB25" s="31"/>
      <c r="AC25" s="34"/>
      <c r="AD25" s="31"/>
      <c r="AE25" s="34"/>
      <c r="AF25" s="31"/>
      <c r="AG25" s="34"/>
      <c r="AH25" s="31"/>
      <c r="AI25" s="34" t="s">
        <v>202</v>
      </c>
      <c r="AJ25" s="31"/>
      <c r="AK25" s="34"/>
      <c r="AL25" s="31" t="s">
        <v>217</v>
      </c>
      <c r="AM25" s="34"/>
      <c r="AN25" s="31"/>
      <c r="AO25" s="34" t="s">
        <v>497</v>
      </c>
      <c r="AP25" s="31" t="s">
        <v>1231</v>
      </c>
      <c r="AQ25" s="34"/>
      <c r="AR25" s="31"/>
      <c r="AS25" s="34" t="s">
        <v>60</v>
      </c>
      <c r="AT25" s="31" t="s">
        <v>205</v>
      </c>
      <c r="AU25" s="34"/>
      <c r="AV25" s="31" t="s">
        <v>199</v>
      </c>
      <c r="AW25" s="34"/>
      <c r="AX25" s="31"/>
      <c r="AY25" s="34"/>
      <c r="AZ25" s="31"/>
      <c r="BA25" s="34" t="s">
        <v>351</v>
      </c>
      <c r="BB25" s="31"/>
      <c r="BC25" s="34"/>
      <c r="BD25" s="31"/>
      <c r="BE25" s="34" t="s">
        <v>1215</v>
      </c>
      <c r="BF25" s="31"/>
      <c r="BG25" s="34"/>
      <c r="BH25" s="31"/>
      <c r="BI25" s="34"/>
      <c r="BJ25" s="31" t="s">
        <v>321</v>
      </c>
      <c r="BK25" s="34"/>
      <c r="BL25" s="31"/>
      <c r="BM25" s="34"/>
      <c r="BN25" s="31"/>
      <c r="BO25" s="34"/>
      <c r="BP25" s="31"/>
      <c r="BQ25" s="34" t="s">
        <v>391</v>
      </c>
      <c r="BR25" s="31"/>
      <c r="BS25" s="34"/>
      <c r="BT25" s="31"/>
      <c r="BU25" s="34"/>
      <c r="BV25" s="31" t="s">
        <v>330</v>
      </c>
      <c r="BW25" s="34" t="s">
        <v>532</v>
      </c>
      <c r="BX25" s="31" t="s">
        <v>280</v>
      </c>
      <c r="BY25" s="34"/>
      <c r="BZ25" s="31"/>
      <c r="CA25" s="34" t="s">
        <v>853</v>
      </c>
      <c r="CB25" s="31"/>
      <c r="CC25" s="34"/>
      <c r="CD25" s="31"/>
      <c r="CE25" s="34" t="s">
        <v>275</v>
      </c>
      <c r="CF25" s="31" t="s">
        <v>253</v>
      </c>
      <c r="CG25" s="34"/>
      <c r="CH25" s="31"/>
      <c r="CI25" s="34"/>
      <c r="CJ25" s="31"/>
      <c r="CK25" s="34"/>
      <c r="CL25" s="31"/>
      <c r="CM25" s="34"/>
      <c r="CN25" s="31" t="s">
        <v>487</v>
      </c>
      <c r="CO25" s="34" t="s">
        <v>307</v>
      </c>
      <c r="CP25" s="31" t="s">
        <v>296</v>
      </c>
      <c r="CQ25" s="34"/>
      <c r="CR25" s="31"/>
      <c r="CS25" s="34" t="s">
        <v>892</v>
      </c>
      <c r="CT25" s="31"/>
      <c r="CU25" s="34" t="s">
        <v>99</v>
      </c>
      <c r="CV25" s="31" t="s">
        <v>852</v>
      </c>
      <c r="CW25" s="34"/>
      <c r="CX25" s="31"/>
      <c r="CY25" s="34"/>
      <c r="CZ25" s="31"/>
      <c r="DA25" s="34"/>
      <c r="DB25" s="31"/>
      <c r="DC25" s="34"/>
      <c r="DD25" s="31"/>
      <c r="DE25" s="34" t="s">
        <v>134</v>
      </c>
      <c r="DF25" s="31"/>
      <c r="DG25" s="34"/>
      <c r="DH25" s="31"/>
      <c r="DI25" s="34"/>
      <c r="DJ25" s="31" t="s">
        <v>272</v>
      </c>
      <c r="DK25" s="34"/>
      <c r="DL25" s="31" t="s">
        <v>428</v>
      </c>
      <c r="DM25" s="34"/>
      <c r="DN25" s="31"/>
      <c r="DO25" s="34"/>
      <c r="DP25" s="31"/>
      <c r="DQ25" s="34"/>
      <c r="DR25" s="31"/>
      <c r="DS25" s="34"/>
      <c r="DT25" s="31"/>
      <c r="DU25" s="34" t="s">
        <v>267</v>
      </c>
      <c r="DV25" s="31" t="s">
        <v>109</v>
      </c>
      <c r="DW25" s="34" t="s">
        <v>895</v>
      </c>
      <c r="DX25" s="31" t="s">
        <v>932</v>
      </c>
      <c r="DY25" s="34"/>
      <c r="DZ25" s="31"/>
      <c r="EA25" s="34" t="s">
        <v>595</v>
      </c>
      <c r="EB25" s="31"/>
      <c r="EC25" s="34"/>
      <c r="ED25" s="31"/>
      <c r="EE25" s="34" t="s">
        <v>83</v>
      </c>
      <c r="EF25" s="31"/>
      <c r="EG25" s="34"/>
      <c r="EH25" s="31"/>
      <c r="EI25" s="34"/>
      <c r="EJ25" s="31"/>
      <c r="EK25" s="34"/>
      <c r="EL25" s="31"/>
      <c r="EM25" s="34"/>
      <c r="EN25" s="31"/>
      <c r="EO25" s="34"/>
      <c r="EP25" s="31"/>
      <c r="EQ25" s="34" t="s">
        <v>363</v>
      </c>
      <c r="ER25" s="31"/>
      <c r="ES25" s="34" t="s">
        <v>935</v>
      </c>
      <c r="ET25" s="31"/>
      <c r="EU25" s="34"/>
      <c r="EV25" s="31"/>
      <c r="EW25" s="34" t="s">
        <v>983</v>
      </c>
      <c r="EX25" s="31"/>
      <c r="EY25" s="34"/>
      <c r="EZ25" s="31"/>
      <c r="FA25" s="34"/>
      <c r="FB25" s="31"/>
      <c r="FC25" s="34"/>
      <c r="FD25" s="31" t="s">
        <v>484</v>
      </c>
      <c r="FE25" s="34"/>
      <c r="FF25" s="31" t="s">
        <v>439</v>
      </c>
      <c r="FG25" s="34"/>
      <c r="FH25" s="31"/>
      <c r="FI25" s="34" t="s">
        <v>354</v>
      </c>
      <c r="FJ25" s="31"/>
      <c r="FK25" s="34"/>
      <c r="FL25" s="31" t="s">
        <v>854</v>
      </c>
      <c r="FM25" s="34"/>
      <c r="FN25" s="31" t="s">
        <v>465</v>
      </c>
      <c r="FO25" s="34"/>
      <c r="FP25" s="31"/>
      <c r="FQ25" s="34"/>
      <c r="FR25" s="31"/>
      <c r="FS25" s="39"/>
      <c r="FT25" s="39"/>
      <c r="FU25" s="34" t="s">
        <v>630</v>
      </c>
      <c r="FV25" s="31"/>
      <c r="FW25" s="34"/>
      <c r="FX25" s="31" t="s">
        <v>934</v>
      </c>
      <c r="FY25" s="34"/>
      <c r="FZ25" s="31"/>
      <c r="GA25" s="34"/>
      <c r="GB25" s="31"/>
      <c r="GC25" s="34"/>
      <c r="GD25" s="31"/>
      <c r="GE25" s="34"/>
      <c r="GF25" s="31"/>
      <c r="GG25" s="34"/>
      <c r="GH25" s="31"/>
      <c r="GI25" s="34" t="s">
        <v>454</v>
      </c>
      <c r="GJ25" s="31"/>
      <c r="GK25" s="34" t="s">
        <v>953</v>
      </c>
      <c r="GL25" s="31" t="s">
        <v>106</v>
      </c>
      <c r="GM25" s="34" t="s">
        <v>501</v>
      </c>
      <c r="GN25" s="31"/>
      <c r="GO25" s="34" t="s">
        <v>96</v>
      </c>
      <c r="GP25" s="31"/>
      <c r="GQ25" s="34"/>
      <c r="GR25" s="31"/>
      <c r="GS25" s="34"/>
      <c r="GT25" s="31"/>
      <c r="GU25" s="34"/>
      <c r="GV25" s="31"/>
      <c r="GW25" s="34"/>
      <c r="GX25" s="31" t="s">
        <v>950</v>
      </c>
      <c r="GY25" s="34"/>
      <c r="GZ25" s="31" t="s">
        <v>894</v>
      </c>
      <c r="HA25" s="34"/>
      <c r="HB25" s="31"/>
      <c r="HC25" s="34"/>
      <c r="HD25" s="30" t="s">
        <v>102</v>
      </c>
      <c r="HE25" s="34" t="s">
        <v>901</v>
      </c>
      <c r="HF25" s="31"/>
      <c r="HG25" s="34"/>
      <c r="HH25" s="31"/>
      <c r="HI25" s="34"/>
      <c r="HJ25" s="31"/>
      <c r="HK25" s="34"/>
      <c r="HL25" s="31"/>
      <c r="HM25" s="34"/>
      <c r="HN25" s="31"/>
      <c r="HO25" s="34" t="s">
        <v>523</v>
      </c>
      <c r="HP25" s="31"/>
      <c r="HQ25" s="34" t="s">
        <v>1303</v>
      </c>
      <c r="HR25" s="31" t="s">
        <v>1302</v>
      </c>
      <c r="HS25" s="34" t="s">
        <v>195</v>
      </c>
      <c r="HT25" s="31"/>
      <c r="HU25" s="34"/>
      <c r="HV25" s="31" t="s">
        <v>370</v>
      </c>
      <c r="HW25" s="34"/>
      <c r="HX25" s="39" t="s">
        <v>163</v>
      </c>
      <c r="HY25" s="39" t="s">
        <v>877</v>
      </c>
      <c r="HZ25" s="31"/>
      <c r="IA25" s="34"/>
      <c r="IB25" s="31"/>
      <c r="IC25" s="34" t="s">
        <v>856</v>
      </c>
      <c r="ID25" s="31"/>
      <c r="IE25" s="34"/>
      <c r="IF25" s="31"/>
      <c r="IG25" s="34"/>
      <c r="IH25" s="31"/>
      <c r="II25" s="34"/>
      <c r="IJ25" s="31"/>
      <c r="IK25" s="34" t="s">
        <v>937</v>
      </c>
      <c r="IL25" s="31"/>
      <c r="IM25" s="34" t="s">
        <v>175</v>
      </c>
      <c r="IN25" s="31"/>
      <c r="IO25" s="34"/>
      <c r="IP25" s="31" t="s">
        <v>45</v>
      </c>
      <c r="IQ25" s="34"/>
      <c r="IR25" s="31"/>
      <c r="IS25" s="34"/>
      <c r="IT25" s="31"/>
      <c r="IU25" s="34"/>
      <c r="IV25" s="31"/>
      <c r="IW25" s="34"/>
      <c r="IX25" s="31"/>
      <c r="IY25" s="34"/>
      <c r="IZ25" s="31"/>
      <c r="JA25" s="34" t="s">
        <v>871</v>
      </c>
      <c r="JB25" s="36"/>
    </row>
    <row r="26" spans="1:262" ht="30" customHeight="1" x14ac:dyDescent="0.25">
      <c r="A26" s="26" t="s">
        <v>1292</v>
      </c>
      <c r="B26" s="48" t="str">
        <f t="shared" si="0"/>
        <v>1st Choice Development
Alpha Energy Management, Inc.
Bright Power
California Solar Integrators, Inc.
California State Development
Centrica Business Solutions
Climatec
DC Solar Electric, Inc
EDF Renewables Distributed Solutions
Enel X North America
Energy Independence Group
Engie Services US
Gold Rush Energy Solutions
GRID Alternatives
GS Homes
Ilum Solar
Infinity Energy Inc
Kuubix Energy, Inc.
LA Solar Group
LLUMETEC
Mack Electric/Gardner Energy
NRG Clean Power
Promise Energy Inc
REC Solar
Sage Energy Consulting
Solar Gain West LLC
Solar Pros Inc.
Stem, Inc.
Stronghold Engineering
Sunnova Energy
SunPower Corporation
Sunterra Solar Inc
Sunworks
Swell Energy</v>
      </c>
      <c r="C26" s="29" t="s">
        <v>857</v>
      </c>
      <c r="D26" s="31"/>
      <c r="E26" s="34"/>
      <c r="F26" s="31"/>
      <c r="G26" s="34"/>
      <c r="H26" s="31"/>
      <c r="I26" s="34"/>
      <c r="J26" s="31"/>
      <c r="K26" s="34"/>
      <c r="L26" s="31"/>
      <c r="M26" s="34"/>
      <c r="N26" s="30" t="s">
        <v>1295</v>
      </c>
      <c r="O26" s="34"/>
      <c r="P26" s="31"/>
      <c r="Q26" s="34"/>
      <c r="R26" s="31"/>
      <c r="S26" s="34"/>
      <c r="T26" s="31"/>
      <c r="U26" s="34"/>
      <c r="V26" s="31"/>
      <c r="W26" s="34"/>
      <c r="X26" s="31"/>
      <c r="Y26" s="34"/>
      <c r="Z26" s="31"/>
      <c r="AA26" s="34"/>
      <c r="AB26" s="31"/>
      <c r="AC26" s="34"/>
      <c r="AD26" s="31"/>
      <c r="AE26" s="34"/>
      <c r="AF26" s="31"/>
      <c r="AG26" s="34"/>
      <c r="AH26" s="31"/>
      <c r="AI26" s="34" t="s">
        <v>202</v>
      </c>
      <c r="AJ26" s="31"/>
      <c r="AK26" s="34"/>
      <c r="AL26" s="31"/>
      <c r="AM26" s="34"/>
      <c r="AN26" s="31"/>
      <c r="AO26" s="34" t="s">
        <v>497</v>
      </c>
      <c r="AP26" s="31" t="s">
        <v>1231</v>
      </c>
      <c r="AQ26" s="34"/>
      <c r="AR26" s="31"/>
      <c r="AS26" s="34" t="s">
        <v>60</v>
      </c>
      <c r="AT26" s="31"/>
      <c r="AU26" s="34"/>
      <c r="AV26" s="31"/>
      <c r="AW26" s="34"/>
      <c r="AX26" s="31"/>
      <c r="AY26" s="34"/>
      <c r="AZ26" s="31"/>
      <c r="BA26" s="34" t="s">
        <v>351</v>
      </c>
      <c r="BB26" s="31"/>
      <c r="BC26" s="34"/>
      <c r="BD26" s="31"/>
      <c r="BE26" s="34"/>
      <c r="BF26" s="31"/>
      <c r="BG26" s="34"/>
      <c r="BH26" s="31"/>
      <c r="BI26" s="34"/>
      <c r="BJ26" s="31" t="s">
        <v>321</v>
      </c>
      <c r="BK26" s="34"/>
      <c r="BL26" s="31"/>
      <c r="BM26" s="34"/>
      <c r="BN26" s="31"/>
      <c r="BO26" s="34"/>
      <c r="BP26" s="31"/>
      <c r="BQ26" s="34" t="s">
        <v>391</v>
      </c>
      <c r="BR26" s="31"/>
      <c r="BS26" s="34"/>
      <c r="BT26" s="31"/>
      <c r="BU26" s="34"/>
      <c r="BV26" s="31"/>
      <c r="BW26" s="34" t="s">
        <v>532</v>
      </c>
      <c r="BX26" s="31" t="s">
        <v>280</v>
      </c>
      <c r="BY26" s="34"/>
      <c r="BZ26" s="31"/>
      <c r="CA26" s="34" t="s">
        <v>853</v>
      </c>
      <c r="CB26" s="31"/>
      <c r="CC26" s="34"/>
      <c r="CD26" s="31"/>
      <c r="CE26" s="34"/>
      <c r="CF26" s="31"/>
      <c r="CG26" s="34"/>
      <c r="CH26" s="31"/>
      <c r="CI26" s="34"/>
      <c r="CJ26" s="31"/>
      <c r="CK26" s="34"/>
      <c r="CL26" s="31"/>
      <c r="CM26" s="34"/>
      <c r="CN26" s="31" t="s">
        <v>487</v>
      </c>
      <c r="CO26" s="34"/>
      <c r="CP26" s="31"/>
      <c r="CQ26" s="34"/>
      <c r="CR26" s="31"/>
      <c r="CS26" s="34"/>
      <c r="CT26" s="31"/>
      <c r="CU26" s="34" t="s">
        <v>99</v>
      </c>
      <c r="CV26" s="31" t="s">
        <v>852</v>
      </c>
      <c r="CW26" s="34"/>
      <c r="CX26" s="31"/>
      <c r="CY26" s="34"/>
      <c r="CZ26" s="31"/>
      <c r="DA26" s="34"/>
      <c r="DB26" s="31"/>
      <c r="DC26" s="34"/>
      <c r="DD26" s="31"/>
      <c r="DE26" s="34"/>
      <c r="DF26" s="31"/>
      <c r="DG26" s="34"/>
      <c r="DH26" s="31"/>
      <c r="DI26" s="34"/>
      <c r="DJ26" s="31" t="s">
        <v>272</v>
      </c>
      <c r="DK26" s="34"/>
      <c r="DL26" s="31" t="s">
        <v>428</v>
      </c>
      <c r="DM26" s="34"/>
      <c r="DN26" s="31"/>
      <c r="DO26" s="34"/>
      <c r="DP26" s="31"/>
      <c r="DQ26" s="34"/>
      <c r="DR26" s="31"/>
      <c r="DS26" s="34"/>
      <c r="DT26" s="31"/>
      <c r="DU26" s="34"/>
      <c r="DV26" s="31" t="s">
        <v>109</v>
      </c>
      <c r="DW26" s="34" t="s">
        <v>895</v>
      </c>
      <c r="DX26" s="31"/>
      <c r="DY26" s="34"/>
      <c r="DZ26" s="31"/>
      <c r="EA26" s="34" t="s">
        <v>595</v>
      </c>
      <c r="EB26" s="31"/>
      <c r="EC26" s="34"/>
      <c r="ED26" s="31"/>
      <c r="EE26" s="34" t="s">
        <v>83</v>
      </c>
      <c r="EF26" s="31"/>
      <c r="EG26" s="34"/>
      <c r="EH26" s="31"/>
      <c r="EI26" s="34"/>
      <c r="EJ26" s="31"/>
      <c r="EK26" s="34"/>
      <c r="EL26" s="31"/>
      <c r="EM26" s="34"/>
      <c r="EN26" s="31"/>
      <c r="EO26" s="34"/>
      <c r="EP26" s="31"/>
      <c r="EQ26" s="34"/>
      <c r="ER26" s="31"/>
      <c r="ES26" s="34" t="s">
        <v>935</v>
      </c>
      <c r="ET26" s="31"/>
      <c r="EU26" s="34"/>
      <c r="EV26" s="31"/>
      <c r="EW26" s="34"/>
      <c r="EX26" s="31"/>
      <c r="EY26" s="34"/>
      <c r="EZ26" s="31"/>
      <c r="FA26" s="34"/>
      <c r="FB26" s="31"/>
      <c r="FC26" s="34"/>
      <c r="FD26" s="31" t="s">
        <v>484</v>
      </c>
      <c r="FE26" s="34"/>
      <c r="FF26" s="31"/>
      <c r="FG26" s="34"/>
      <c r="FH26" s="31"/>
      <c r="FI26" s="34" t="s">
        <v>354</v>
      </c>
      <c r="FJ26" s="31"/>
      <c r="FK26" s="34"/>
      <c r="FL26" s="31"/>
      <c r="FM26" s="34"/>
      <c r="FN26" s="31" t="s">
        <v>465</v>
      </c>
      <c r="FO26" s="34"/>
      <c r="FP26" s="31"/>
      <c r="FQ26" s="34"/>
      <c r="FR26" s="31"/>
      <c r="FS26" s="39"/>
      <c r="FT26" s="39"/>
      <c r="FU26" s="34"/>
      <c r="FV26" s="31"/>
      <c r="FW26" s="34"/>
      <c r="FX26" s="31"/>
      <c r="FY26" s="34"/>
      <c r="FZ26" s="31"/>
      <c r="GA26" s="34"/>
      <c r="GB26" s="31"/>
      <c r="GC26" s="34"/>
      <c r="GD26" s="31"/>
      <c r="GE26" s="34"/>
      <c r="GF26" s="31"/>
      <c r="GG26" s="34"/>
      <c r="GH26" s="31"/>
      <c r="GI26" s="34" t="s">
        <v>454</v>
      </c>
      <c r="GJ26" s="31"/>
      <c r="GK26" s="34"/>
      <c r="GL26" s="31"/>
      <c r="GM26" s="34" t="s">
        <v>501</v>
      </c>
      <c r="GN26" s="31"/>
      <c r="GO26" s="34"/>
      <c r="GP26" s="31"/>
      <c r="GQ26" s="34"/>
      <c r="GR26" s="31"/>
      <c r="GS26" s="34"/>
      <c r="GT26" s="31"/>
      <c r="GU26" s="34"/>
      <c r="GV26" s="31"/>
      <c r="GW26" s="34"/>
      <c r="GX26" s="31"/>
      <c r="GY26" s="34"/>
      <c r="GZ26" s="31"/>
      <c r="HA26" s="34"/>
      <c r="HB26" s="31"/>
      <c r="HC26" s="34"/>
      <c r="HD26" s="30" t="s">
        <v>102</v>
      </c>
      <c r="HE26" s="34" t="s">
        <v>901</v>
      </c>
      <c r="HF26" s="31"/>
      <c r="HG26" s="34"/>
      <c r="HH26" s="31"/>
      <c r="HI26" s="34"/>
      <c r="HJ26" s="31"/>
      <c r="HK26" s="34"/>
      <c r="HL26" s="31"/>
      <c r="HM26" s="34"/>
      <c r="HN26" s="31"/>
      <c r="HO26" s="34" t="s">
        <v>523</v>
      </c>
      <c r="HP26" s="31"/>
      <c r="HQ26" s="34"/>
      <c r="HR26" s="31"/>
      <c r="HS26" s="34" t="s">
        <v>195</v>
      </c>
      <c r="HT26" s="31"/>
      <c r="HU26" s="34"/>
      <c r="HV26" s="31"/>
      <c r="HW26" s="34"/>
      <c r="HX26" s="39" t="s">
        <v>163</v>
      </c>
      <c r="HY26" s="39" t="s">
        <v>877</v>
      </c>
      <c r="HZ26" s="31"/>
      <c r="IA26" s="34"/>
      <c r="IB26" s="31"/>
      <c r="IC26" s="34" t="s">
        <v>856</v>
      </c>
      <c r="ID26" s="31"/>
      <c r="IE26" s="34"/>
      <c r="IF26" s="31"/>
      <c r="IG26" s="34"/>
      <c r="IH26" s="31"/>
      <c r="II26" s="34"/>
      <c r="IJ26" s="31"/>
      <c r="IK26" s="34"/>
      <c r="IL26" s="31"/>
      <c r="IM26" s="34"/>
      <c r="IN26" s="31"/>
      <c r="IO26" s="34"/>
      <c r="IP26" s="31"/>
      <c r="IQ26" s="34"/>
      <c r="IR26" s="31"/>
      <c r="IS26" s="34"/>
      <c r="IT26" s="31"/>
      <c r="IU26" s="34"/>
      <c r="IV26" s="31"/>
      <c r="IW26" s="34"/>
      <c r="IX26" s="31"/>
      <c r="IY26" s="34"/>
      <c r="IZ26" s="31"/>
      <c r="JA26" s="34"/>
      <c r="JB26" s="36"/>
    </row>
    <row r="27" spans="1:262" ht="30" customHeight="1" x14ac:dyDescent="0.25">
      <c r="A27" s="27" t="s">
        <v>1256</v>
      </c>
      <c r="B27" s="48" t="str">
        <f t="shared" si="0"/>
        <v>1st Choice Development
Alpha Energy Management, Inc.
Ameresco Solar
Apollo Home Performance
Berger Solar Electric, LLC.
Bright Power
California Solar Integrators, Inc.
California State Development
Centrica Business Solutions
Climatec
Communication Infrastructure Corporation (CIC)
DC Solar Electric, Inc
EDF Renewables Distributed Solutions
Enel X North America
Energy Independence Group
Engie Services US
ForeFront Power
Freevolt
Gold Rush Energy Solutions
Golden State Power
Green Water and Power
GRID Alternatives
GS Homes
Ilum Solar
Infinity Energy Inc
Kuubix Energy, Inc.
LA Solar Group
Laibach Solar
LLUMETEC
Mack Electric/Gardner Energy
NRG Clean Power
Pacific Rim ConstructioRAM SOLAR
Promise Energy Inc
REC Solar
Sage Energy Consulting
Solar Gain West LLC
Solar Pros Inc.
Solar Renewable Energy
Stem, Inc.
Stronghold Engineering
Sunnova Energy
SunPower by Hooked On Solar
SunPower Corporation
Sunterra Solar Inc
Sunworks
Swell Energy</v>
      </c>
      <c r="C27" s="29" t="s">
        <v>857</v>
      </c>
      <c r="D27" s="31"/>
      <c r="E27" s="34"/>
      <c r="F27" s="31"/>
      <c r="G27" s="34"/>
      <c r="H27" s="31"/>
      <c r="I27" s="34"/>
      <c r="J27" s="31"/>
      <c r="K27" s="34"/>
      <c r="L27" s="31"/>
      <c r="M27" s="34"/>
      <c r="N27" s="30" t="s">
        <v>1295</v>
      </c>
      <c r="O27" s="34"/>
      <c r="P27" s="31"/>
      <c r="Q27" s="34"/>
      <c r="R27" s="31"/>
      <c r="S27" s="34"/>
      <c r="T27" s="31" t="s">
        <v>427</v>
      </c>
      <c r="U27" s="34" t="s">
        <v>915</v>
      </c>
      <c r="V27" s="31"/>
      <c r="W27" s="34"/>
      <c r="X27" s="31"/>
      <c r="Y27" s="34"/>
      <c r="Z27" s="31"/>
      <c r="AA27" s="34"/>
      <c r="AB27" s="31"/>
      <c r="AC27" s="34" t="s">
        <v>366</v>
      </c>
      <c r="AD27" s="31"/>
      <c r="AE27" s="34"/>
      <c r="AF27" s="31"/>
      <c r="AG27" s="34"/>
      <c r="AH27" s="31"/>
      <c r="AI27" s="34" t="s">
        <v>202</v>
      </c>
      <c r="AJ27" s="31"/>
      <c r="AK27" s="34"/>
      <c r="AL27" s="31"/>
      <c r="AM27" s="34"/>
      <c r="AN27" s="31"/>
      <c r="AO27" s="34" t="s">
        <v>497</v>
      </c>
      <c r="AP27" s="31" t="s">
        <v>1231</v>
      </c>
      <c r="AQ27" s="34"/>
      <c r="AR27" s="31"/>
      <c r="AS27" s="34" t="s">
        <v>60</v>
      </c>
      <c r="AT27" s="31"/>
      <c r="AU27" s="34"/>
      <c r="AV27" s="31"/>
      <c r="AW27" s="34"/>
      <c r="AX27" s="31"/>
      <c r="AY27" s="34"/>
      <c r="AZ27" s="31"/>
      <c r="BA27" s="34" t="s">
        <v>351</v>
      </c>
      <c r="BB27" s="31"/>
      <c r="BC27" s="34"/>
      <c r="BD27" s="31"/>
      <c r="BE27" s="34" t="s">
        <v>1215</v>
      </c>
      <c r="BF27" s="31"/>
      <c r="BG27" s="34"/>
      <c r="BH27" s="31"/>
      <c r="BI27" s="34"/>
      <c r="BJ27" s="31" t="s">
        <v>321</v>
      </c>
      <c r="BK27" s="34"/>
      <c r="BL27" s="31"/>
      <c r="BM27" s="34"/>
      <c r="BN27" s="31"/>
      <c r="BO27" s="34"/>
      <c r="BP27" s="31"/>
      <c r="BQ27" s="34" t="s">
        <v>391</v>
      </c>
      <c r="BR27" s="31"/>
      <c r="BS27" s="34"/>
      <c r="BT27" s="31"/>
      <c r="BU27" s="34"/>
      <c r="BV27" s="31"/>
      <c r="BW27" s="34" t="s">
        <v>532</v>
      </c>
      <c r="BX27" s="31" t="s">
        <v>280</v>
      </c>
      <c r="BY27" s="34"/>
      <c r="BZ27" s="31"/>
      <c r="CA27" s="34" t="s">
        <v>853</v>
      </c>
      <c r="CB27" s="31"/>
      <c r="CC27" s="34"/>
      <c r="CD27" s="31"/>
      <c r="CE27" s="34" t="s">
        <v>275</v>
      </c>
      <c r="CF27" s="31" t="s">
        <v>253</v>
      </c>
      <c r="CG27" s="34"/>
      <c r="CH27" s="31"/>
      <c r="CI27" s="34"/>
      <c r="CJ27" s="31"/>
      <c r="CK27" s="34"/>
      <c r="CL27" s="31"/>
      <c r="CM27" s="34"/>
      <c r="CN27" s="31" t="s">
        <v>487</v>
      </c>
      <c r="CO27" s="34"/>
      <c r="CP27" s="31" t="s">
        <v>296</v>
      </c>
      <c r="CQ27" s="34"/>
      <c r="CR27" s="31"/>
      <c r="CS27" s="34" t="s">
        <v>892</v>
      </c>
      <c r="CT27" s="31"/>
      <c r="CU27" s="34" t="s">
        <v>99</v>
      </c>
      <c r="CV27" s="31" t="s">
        <v>852</v>
      </c>
      <c r="CW27" s="34"/>
      <c r="CX27" s="31"/>
      <c r="CY27" s="34"/>
      <c r="CZ27" s="31"/>
      <c r="DA27" s="34"/>
      <c r="DB27" s="31"/>
      <c r="DC27" s="34"/>
      <c r="DD27" s="31"/>
      <c r="DE27" s="34"/>
      <c r="DF27" s="31"/>
      <c r="DG27" s="34"/>
      <c r="DH27" s="31"/>
      <c r="DI27" s="34"/>
      <c r="DJ27" s="31" t="s">
        <v>272</v>
      </c>
      <c r="DK27" s="34"/>
      <c r="DL27" s="31" t="s">
        <v>428</v>
      </c>
      <c r="DM27" s="34"/>
      <c r="DN27" s="31"/>
      <c r="DO27" s="34"/>
      <c r="DP27" s="31"/>
      <c r="DQ27" s="34"/>
      <c r="DR27" s="31"/>
      <c r="DS27" s="34"/>
      <c r="DT27" s="31"/>
      <c r="DU27" s="34"/>
      <c r="DV27" s="31" t="s">
        <v>109</v>
      </c>
      <c r="DW27" s="34" t="s">
        <v>895</v>
      </c>
      <c r="DX27" s="31" t="s">
        <v>932</v>
      </c>
      <c r="DY27" s="34"/>
      <c r="DZ27" s="31"/>
      <c r="EA27" s="34" t="s">
        <v>595</v>
      </c>
      <c r="EB27" s="31"/>
      <c r="EC27" s="34"/>
      <c r="ED27" s="31"/>
      <c r="EE27" s="34" t="s">
        <v>83</v>
      </c>
      <c r="EF27" s="31"/>
      <c r="EG27" s="34"/>
      <c r="EH27" s="31"/>
      <c r="EI27" s="34"/>
      <c r="EJ27" s="31"/>
      <c r="EK27" s="34"/>
      <c r="EL27" s="31"/>
      <c r="EM27" s="34"/>
      <c r="EN27" s="31"/>
      <c r="EO27" s="34"/>
      <c r="EP27" s="31"/>
      <c r="EQ27" s="34"/>
      <c r="ER27" s="31"/>
      <c r="ES27" s="34" t="s">
        <v>935</v>
      </c>
      <c r="ET27" s="31"/>
      <c r="EU27" s="34"/>
      <c r="EV27" s="31"/>
      <c r="EW27" s="34" t="s">
        <v>983</v>
      </c>
      <c r="EX27" s="31"/>
      <c r="EY27" s="34"/>
      <c r="EZ27" s="31"/>
      <c r="FA27" s="34"/>
      <c r="FB27" s="31"/>
      <c r="FC27" s="34"/>
      <c r="FD27" s="31" t="s">
        <v>484</v>
      </c>
      <c r="FE27" s="34"/>
      <c r="FF27" s="31"/>
      <c r="FG27" s="34"/>
      <c r="FH27" s="31"/>
      <c r="FI27" s="34" t="s">
        <v>354</v>
      </c>
      <c r="FJ27" s="31"/>
      <c r="FK27" s="34"/>
      <c r="FL27" s="31"/>
      <c r="FM27" s="34"/>
      <c r="FN27" s="31" t="s">
        <v>465</v>
      </c>
      <c r="FO27" s="34"/>
      <c r="FP27" s="31"/>
      <c r="FQ27" s="34"/>
      <c r="FR27" s="31"/>
      <c r="FS27" s="39"/>
      <c r="FT27" s="39"/>
      <c r="FU27" s="34"/>
      <c r="FV27" s="31"/>
      <c r="FW27" s="34"/>
      <c r="FX27" s="31"/>
      <c r="FY27" s="34"/>
      <c r="FZ27" s="31"/>
      <c r="GA27" s="34"/>
      <c r="GB27" s="31"/>
      <c r="GC27" s="34"/>
      <c r="GD27" s="31"/>
      <c r="GE27" s="34"/>
      <c r="GF27" s="31"/>
      <c r="GG27" s="34"/>
      <c r="GH27" s="31"/>
      <c r="GI27" s="34" t="s">
        <v>454</v>
      </c>
      <c r="GJ27" s="31"/>
      <c r="GK27" s="34"/>
      <c r="GL27" s="31"/>
      <c r="GM27" s="34" t="s">
        <v>501</v>
      </c>
      <c r="GN27" s="31" t="s">
        <v>891</v>
      </c>
      <c r="GO27" s="34"/>
      <c r="GP27" s="31"/>
      <c r="GQ27" s="34"/>
      <c r="GR27" s="31"/>
      <c r="GS27" s="34"/>
      <c r="GT27" s="31"/>
      <c r="GU27" s="34"/>
      <c r="GV27" s="31"/>
      <c r="GW27" s="34"/>
      <c r="GX27" s="31"/>
      <c r="GY27" s="34"/>
      <c r="GZ27" s="31"/>
      <c r="HA27" s="34"/>
      <c r="HB27" s="31"/>
      <c r="HC27" s="34"/>
      <c r="HD27" s="30" t="s">
        <v>102</v>
      </c>
      <c r="HE27" s="34" t="s">
        <v>901</v>
      </c>
      <c r="HF27" s="31"/>
      <c r="HG27" s="34"/>
      <c r="HH27" s="31"/>
      <c r="HI27" s="34"/>
      <c r="HJ27" s="31"/>
      <c r="HK27" s="34"/>
      <c r="HL27" s="31"/>
      <c r="HM27" s="34"/>
      <c r="HN27" s="31"/>
      <c r="HO27" s="34" t="s">
        <v>523</v>
      </c>
      <c r="HP27" s="31"/>
      <c r="HQ27" s="34" t="s">
        <v>1303</v>
      </c>
      <c r="HR27" s="31"/>
      <c r="HS27" s="34" t="s">
        <v>195</v>
      </c>
      <c r="HT27" s="31"/>
      <c r="HU27" s="34"/>
      <c r="HV27" s="31"/>
      <c r="HW27" s="34"/>
      <c r="HX27" s="39" t="s">
        <v>163</v>
      </c>
      <c r="HY27" s="39" t="s">
        <v>877</v>
      </c>
      <c r="HZ27" s="31"/>
      <c r="IA27" s="34"/>
      <c r="IB27" s="31"/>
      <c r="IC27" s="34" t="s">
        <v>856</v>
      </c>
      <c r="ID27" s="31"/>
      <c r="IE27" s="34"/>
      <c r="IF27" s="31"/>
      <c r="IG27" s="34"/>
      <c r="IH27" s="31"/>
      <c r="II27" s="34"/>
      <c r="IJ27" s="31"/>
      <c r="IK27" s="34"/>
      <c r="IL27" s="31"/>
      <c r="IM27" s="34"/>
      <c r="IN27" s="31"/>
      <c r="IO27" s="34"/>
      <c r="IP27" s="31"/>
      <c r="IQ27" s="34"/>
      <c r="IR27" s="31"/>
      <c r="IS27" s="34"/>
      <c r="IT27" s="31"/>
      <c r="IU27" s="34"/>
      <c r="IV27" s="31"/>
      <c r="IW27" s="34"/>
      <c r="IX27" s="31"/>
      <c r="IY27" s="34"/>
      <c r="IZ27" s="31"/>
      <c r="JA27" s="34"/>
      <c r="JB27" s="36"/>
    </row>
    <row r="28" spans="1:262" ht="30" customHeight="1" x14ac:dyDescent="0.25">
      <c r="A28" s="26" t="s">
        <v>1257</v>
      </c>
      <c r="B28" s="48" t="str">
        <f t="shared" si="0"/>
        <v>1st Choice Development
Alpha Energy Management, Inc.
Ameresco Solar
Blue Planet Water and Power Company
Bright Future Solar Energy
Bright Power
CalCom Energy
California Solar Integrators, Inc.
California State Development
Centrica Business Solutions
Climatec
Cobalt Power Systems, Inc.
Communication Infrastructure Corporation (CIC)
Day One Solar
DC Solar Electric, Inc
Earth Electric Incorporated
EDF Renewables Distributed Solutions
Enable Energy, Inc.
Enel X North America
Energy Independence Group
Engie Services US
ForeFront Power
Freevolt
Fresco Solar
Gold Rush Energy Solutions
Golden Bear Solar, Inc.
Golden State Power
Golden State Solar
Green Water and Power
GRID Alternatives
GS Homes
Horizon Solar Power
Huffman Solar
Ilum Solar
Infinity Energy Inc
Infinium Solar, Inc.
Klein Power Electric
Kota Construction
Kuubix Energy, Inc.
LA Solar Group
Laibach Solar
LLUMETEC
Mack Electric/Gardner Energy
NGR Upgrade
NRG Clean Power
Pac Solar Corporation
Pacific Rim ConstructioRAM SOLAR
PacificWest Energy Solutions, Inc.
Perrybuilt Construction
Photon Brothers
Promise Energy Inc
Quality Home Services
REC Solar
Sage Energy Consulting
Sarter Construction &amp; Design, Inc / Off the Grid Design / Sol Lux Alpha
Semper Solaris
Simmitri, Inc
Solar Gain West LLC
Solar Pros Inc.
Solar Symphony Construction Inc
Spreck Energy
Stem, Inc.
Stronghold Engineering
Sungenix Energy Solutions
Sunnova Energy
SunPower by Hooked On Solar
SunPower by Quality Home Services
SunPower Corporation
Sunstreet
Sunterra Solar Inc
Sunworks
Sustainable Technologies
Swell Energy
Synergy Power
Trinity Power
V3 Electric Inc
Vivint Solar
West Coast Solar
Your Energy Source (YES)</v>
      </c>
      <c r="C28" s="29" t="s">
        <v>857</v>
      </c>
      <c r="D28" s="31"/>
      <c r="E28" s="34"/>
      <c r="F28" s="31"/>
      <c r="G28" s="34"/>
      <c r="H28" s="31"/>
      <c r="I28" s="34"/>
      <c r="J28" s="31"/>
      <c r="K28" s="34"/>
      <c r="L28" s="31"/>
      <c r="M28" s="34"/>
      <c r="N28" s="30" t="s">
        <v>1295</v>
      </c>
      <c r="O28" s="34"/>
      <c r="P28" s="31"/>
      <c r="Q28" s="34"/>
      <c r="R28" s="31"/>
      <c r="S28" s="34"/>
      <c r="T28" s="31" t="s">
        <v>427</v>
      </c>
      <c r="U28" s="34"/>
      <c r="V28" s="31"/>
      <c r="W28" s="34"/>
      <c r="X28" s="31"/>
      <c r="Y28" s="34"/>
      <c r="Z28" s="31"/>
      <c r="AA28" s="34"/>
      <c r="AB28" s="31"/>
      <c r="AC28" s="34"/>
      <c r="AD28" s="31"/>
      <c r="AE28" s="34" t="s">
        <v>943</v>
      </c>
      <c r="AF28" s="31"/>
      <c r="AG28" s="34" t="s">
        <v>928</v>
      </c>
      <c r="AH28" s="31"/>
      <c r="AI28" s="34" t="s">
        <v>202</v>
      </c>
      <c r="AJ28" s="31"/>
      <c r="AK28" s="34"/>
      <c r="AL28" s="31" t="s">
        <v>217</v>
      </c>
      <c r="AM28" s="34"/>
      <c r="AN28" s="31"/>
      <c r="AO28" s="34" t="s">
        <v>497</v>
      </c>
      <c r="AP28" s="31" t="s">
        <v>1231</v>
      </c>
      <c r="AQ28" s="34"/>
      <c r="AR28" s="31"/>
      <c r="AS28" s="34" t="s">
        <v>60</v>
      </c>
      <c r="AT28" s="31"/>
      <c r="AU28" s="34"/>
      <c r="AV28" s="31"/>
      <c r="AW28" s="34"/>
      <c r="AX28" s="31"/>
      <c r="AY28" s="34"/>
      <c r="AZ28" s="31"/>
      <c r="BA28" s="34" t="s">
        <v>351</v>
      </c>
      <c r="BB28" s="31"/>
      <c r="BC28" s="34"/>
      <c r="BD28" s="31" t="s">
        <v>304</v>
      </c>
      <c r="BE28" s="34" t="s">
        <v>1215</v>
      </c>
      <c r="BF28" s="31"/>
      <c r="BG28" s="34"/>
      <c r="BH28" s="31"/>
      <c r="BI28" s="33" t="s">
        <v>938</v>
      </c>
      <c r="BJ28" s="31" t="s">
        <v>321</v>
      </c>
      <c r="BK28" s="34"/>
      <c r="BL28" s="31"/>
      <c r="BM28" s="34" t="s">
        <v>67</v>
      </c>
      <c r="BN28" s="31"/>
      <c r="BO28" s="34"/>
      <c r="BP28" s="31"/>
      <c r="BQ28" s="34" t="s">
        <v>391</v>
      </c>
      <c r="BR28" s="31"/>
      <c r="BS28" s="34"/>
      <c r="BT28" s="31"/>
      <c r="BU28" s="34"/>
      <c r="BV28" s="31" t="s">
        <v>330</v>
      </c>
      <c r="BW28" s="34" t="s">
        <v>532</v>
      </c>
      <c r="BX28" s="31" t="s">
        <v>280</v>
      </c>
      <c r="BY28" s="34"/>
      <c r="BZ28" s="31"/>
      <c r="CA28" s="34" t="s">
        <v>853</v>
      </c>
      <c r="CB28" s="31"/>
      <c r="CC28" s="34"/>
      <c r="CD28" s="31"/>
      <c r="CE28" s="34" t="s">
        <v>275</v>
      </c>
      <c r="CF28" s="31" t="s">
        <v>253</v>
      </c>
      <c r="CG28" s="34"/>
      <c r="CH28" s="31" t="s">
        <v>929</v>
      </c>
      <c r="CI28" s="34"/>
      <c r="CJ28" s="31"/>
      <c r="CK28" s="34"/>
      <c r="CL28" s="31"/>
      <c r="CM28" s="34"/>
      <c r="CN28" s="31" t="s">
        <v>487</v>
      </c>
      <c r="CO28" s="34" t="s">
        <v>307</v>
      </c>
      <c r="CP28" s="31" t="s">
        <v>296</v>
      </c>
      <c r="CQ28" s="34" t="s">
        <v>945</v>
      </c>
      <c r="CR28" s="31"/>
      <c r="CS28" s="34" t="s">
        <v>892</v>
      </c>
      <c r="CT28" s="31"/>
      <c r="CU28" s="34" t="s">
        <v>99</v>
      </c>
      <c r="CV28" s="31" t="s">
        <v>852</v>
      </c>
      <c r="CW28" s="34"/>
      <c r="CX28" s="31"/>
      <c r="CY28" s="34"/>
      <c r="CZ28" s="31"/>
      <c r="DA28" s="34"/>
      <c r="DB28" s="31"/>
      <c r="DC28" s="34"/>
      <c r="DD28" s="31"/>
      <c r="DE28" s="34" t="s">
        <v>134</v>
      </c>
      <c r="DF28" s="31"/>
      <c r="DG28" s="34"/>
      <c r="DH28" s="31" t="s">
        <v>220</v>
      </c>
      <c r="DI28" s="34"/>
      <c r="DJ28" s="31" t="s">
        <v>272</v>
      </c>
      <c r="DK28" s="34"/>
      <c r="DL28" s="31" t="s">
        <v>428</v>
      </c>
      <c r="DM28" s="34" t="s">
        <v>179</v>
      </c>
      <c r="DN28" s="31"/>
      <c r="DO28" s="34"/>
      <c r="DP28" s="31"/>
      <c r="DQ28" s="34"/>
      <c r="DR28" s="31"/>
      <c r="DS28" s="34"/>
      <c r="DT28" s="31" t="s">
        <v>41</v>
      </c>
      <c r="DU28" s="34" t="s">
        <v>267</v>
      </c>
      <c r="DV28" s="31" t="s">
        <v>109</v>
      </c>
      <c r="DW28" s="34" t="s">
        <v>895</v>
      </c>
      <c r="DX28" s="31" t="s">
        <v>932</v>
      </c>
      <c r="DY28" s="34"/>
      <c r="DZ28" s="31"/>
      <c r="EA28" s="34" t="s">
        <v>595</v>
      </c>
      <c r="EB28" s="31"/>
      <c r="EC28" s="34"/>
      <c r="ED28" s="31"/>
      <c r="EE28" s="34" t="s">
        <v>83</v>
      </c>
      <c r="EF28" s="31"/>
      <c r="EG28" s="34"/>
      <c r="EH28" s="31"/>
      <c r="EI28" s="34"/>
      <c r="EJ28" s="31"/>
      <c r="EK28" s="34"/>
      <c r="EL28" s="31"/>
      <c r="EM28" s="34"/>
      <c r="EN28" s="31"/>
      <c r="EO28" s="34" t="s">
        <v>880</v>
      </c>
      <c r="EP28" s="31"/>
      <c r="EQ28" s="34"/>
      <c r="ER28" s="31"/>
      <c r="ES28" s="34" t="s">
        <v>935</v>
      </c>
      <c r="ET28" s="31"/>
      <c r="EU28" s="34"/>
      <c r="EV28" s="31" t="s">
        <v>286</v>
      </c>
      <c r="EW28" s="34" t="s">
        <v>983</v>
      </c>
      <c r="EX28" s="31"/>
      <c r="EY28" s="34" t="s">
        <v>559</v>
      </c>
      <c r="EZ28" s="31"/>
      <c r="FA28" s="34" t="s">
        <v>910</v>
      </c>
      <c r="FB28" s="31" t="s">
        <v>921</v>
      </c>
      <c r="FC28" s="34"/>
      <c r="FD28" s="31" t="s">
        <v>484</v>
      </c>
      <c r="FE28" s="34"/>
      <c r="FF28" s="31" t="s">
        <v>439</v>
      </c>
      <c r="FG28" s="34"/>
      <c r="FH28" s="31"/>
      <c r="FI28" s="34" t="s">
        <v>354</v>
      </c>
      <c r="FJ28" s="31"/>
      <c r="FK28" s="34"/>
      <c r="FL28" s="31"/>
      <c r="FM28" s="34"/>
      <c r="FN28" s="31" t="s">
        <v>465</v>
      </c>
      <c r="FO28" s="34"/>
      <c r="FP28" s="31"/>
      <c r="FQ28" s="34" t="s">
        <v>171</v>
      </c>
      <c r="FR28" s="31"/>
      <c r="FS28" s="39"/>
      <c r="FT28" s="39"/>
      <c r="FU28" s="34" t="s">
        <v>630</v>
      </c>
      <c r="FV28" s="31"/>
      <c r="FW28" s="34"/>
      <c r="FX28" s="31"/>
      <c r="FY28" s="34" t="s">
        <v>562</v>
      </c>
      <c r="FZ28" s="31"/>
      <c r="GA28" s="34"/>
      <c r="GB28" s="31"/>
      <c r="GC28" s="34"/>
      <c r="GD28" s="31"/>
      <c r="GE28" s="34"/>
      <c r="GF28" s="31"/>
      <c r="GG28" s="34"/>
      <c r="GH28" s="31"/>
      <c r="GI28" s="34" t="s">
        <v>454</v>
      </c>
      <c r="GJ28" s="31"/>
      <c r="GK28" s="34"/>
      <c r="GL28" s="31"/>
      <c r="GM28" s="34" t="s">
        <v>501</v>
      </c>
      <c r="GN28" s="31"/>
      <c r="GO28" s="34"/>
      <c r="GP28" s="31"/>
      <c r="GQ28" s="34" t="s">
        <v>244</v>
      </c>
      <c r="GR28" s="31"/>
      <c r="GS28" s="34"/>
      <c r="GT28" s="31"/>
      <c r="GU28" s="34"/>
      <c r="GV28" s="31"/>
      <c r="GW28" s="34"/>
      <c r="GX28" s="31"/>
      <c r="GY28" s="34"/>
      <c r="GZ28" s="31" t="s">
        <v>894</v>
      </c>
      <c r="HA28" s="34"/>
      <c r="HB28" s="31"/>
      <c r="HC28" s="34"/>
      <c r="HD28" s="30" t="s">
        <v>102</v>
      </c>
      <c r="HE28" s="34" t="s">
        <v>901</v>
      </c>
      <c r="HF28" s="31"/>
      <c r="HG28" s="34"/>
      <c r="HH28" s="31"/>
      <c r="HI28" s="34"/>
      <c r="HJ28" s="31"/>
      <c r="HK28" s="34" t="s">
        <v>77</v>
      </c>
      <c r="HL28" s="31"/>
      <c r="HM28" s="34"/>
      <c r="HN28" s="31"/>
      <c r="HO28" s="34" t="s">
        <v>523</v>
      </c>
      <c r="HP28" s="31"/>
      <c r="HQ28" s="34" t="s">
        <v>1303</v>
      </c>
      <c r="HR28" s="31" t="s">
        <v>1302</v>
      </c>
      <c r="HS28" s="34" t="s">
        <v>195</v>
      </c>
      <c r="HT28" s="31"/>
      <c r="HU28" s="34"/>
      <c r="HV28" s="31" t="s">
        <v>370</v>
      </c>
      <c r="HW28" s="34"/>
      <c r="HX28" s="39" t="s">
        <v>163</v>
      </c>
      <c r="HY28" s="39" t="s">
        <v>877</v>
      </c>
      <c r="HZ28" s="31"/>
      <c r="IA28" s="34" t="s">
        <v>544</v>
      </c>
      <c r="IB28" s="31"/>
      <c r="IC28" s="34" t="s">
        <v>856</v>
      </c>
      <c r="ID28" s="31"/>
      <c r="IE28" s="34"/>
      <c r="IF28" s="31" t="s">
        <v>513</v>
      </c>
      <c r="IG28" s="34"/>
      <c r="IH28" s="31"/>
      <c r="II28" s="34"/>
      <c r="IJ28" s="31"/>
      <c r="IK28" s="34" t="s">
        <v>937</v>
      </c>
      <c r="IL28" s="31"/>
      <c r="IM28" s="34" t="s">
        <v>175</v>
      </c>
      <c r="IN28" s="31"/>
      <c r="IO28" s="34"/>
      <c r="IP28" s="31" t="s">
        <v>45</v>
      </c>
      <c r="IQ28" s="34"/>
      <c r="IR28" s="31"/>
      <c r="IS28" s="34"/>
      <c r="IT28" s="31" t="s">
        <v>855</v>
      </c>
      <c r="IU28" s="34"/>
      <c r="IV28" s="31"/>
      <c r="IW28" s="34"/>
      <c r="IX28" s="31"/>
      <c r="IY28" s="34"/>
      <c r="IZ28" s="31"/>
      <c r="JA28" s="34" t="s">
        <v>871</v>
      </c>
      <c r="JB28" s="36"/>
    </row>
    <row r="29" spans="1:262" ht="30" customHeight="1" x14ac:dyDescent="0.25">
      <c r="A29" s="27" t="s">
        <v>1258</v>
      </c>
      <c r="B29" s="48" t="str">
        <f t="shared" si="0"/>
        <v>1st Choice Development
ACR Solar
Advanced Alternative Energy Solutions
Alpha Energy Management, Inc.
Ambrose Construction Inc
Ameresco Solar
Apollo Home Performance
Napa
Aztec Solar Inc.
Bright Power
Byers
California Solar Integrators, Inc.
California State Development
Centrica Business Solutions
Citadel Roofing &amp; Solar
Clean Factor Energy
Climate Solar Solution
Climatec
Communication Infrastructure Corporation (CIC)
Corona Solar
DC Solar Electric, Inc
DEL SOL NRG, INC.
Earthwise Energy Solutions
EDF Renewables Distributed Solutions
Enable Energy, Inc.
Enel X North America
Energy Independence Group
Energy Innovative Solutions LLC
Engie Services US
First Response Solar
ForeFront Power
Freevolt
Fresco Solar
Fresh Energy Systems
Gold Rush Energy Solutions
Golden Bear Solar, Inc.
Golden State Power
Got Watts Electric &amp; Solar
Green Water and Power
Green Wolf Energy
GRID Alternatives
GS Homes
Horizon Solar Power
Hot Watts Technology
Huffman Solar
Ilum Solar
Infinity Energy Inc
Innovative Energy Systems (IES)
J&amp;J Electric DBA Vital Energy Solutions, LLC
Jonas Energy Solutions
Kota Construction
Kuubix Energy, Inc.
LA Solar Group
Laibach Solar
LLUMETEC
Mack Electric/Gardner Energy
Mei renewables Inc
MEI Renewables, Inc.
Michael &amp; Sun Solar Inc
North State Solar Energy Construction
Northern Pacific Power Systems
NRG Clean Power
Pac Solar Corporation
Pacific Rim ConstructioRAM SOLAR
PacificWest Energy Solutions, Inc.
Promise Energy Inc
Pure Power Solutions
REC Solar
Sage Energy Consulting
Sarter Construction &amp; Design, Inc / Off the Grid Design / Sol Lux Alpha
Save a Lot Solar
Semper Solaris
Solar Craft
Solar Gain West LLC
Solar Optimum Inc
Solar Pros Inc.
Solar Savings Direct
Solar Symphony Construction Inc
Solarcraft
SolarWinds Energy
SonoMarin Solar &amp; Electric
Spreck Energy
Starseed Electric
Stem, Inc.
Stronghold Engineering
Sun Light &amp; Power
Sun Power by Ambrose
Sun River Solar
Sunce Energy Solutions, Inc.
Sungenix Energy Solutions
Sunnova Energy
SunPower by Hooked On Solar
SunPower Corporation
SunStor
Suntegrity Solar
Sunterra Solar Inc
Sunworks
Sustainable Technologies
Sustineo
Swell Energy
Symmetric Energy / Solar Winds Energy
Synergy Power
Trinity Power
Urban Energy Inc
V3 Electric Inc
Vivint Solar
West Coast Solar
Westcoast Solar Energy
Westhaven Inc.
Xero Solar
Your Energy Source (YES)
Zero Energy Associates</v>
      </c>
      <c r="C29" s="29" t="s">
        <v>857</v>
      </c>
      <c r="D29" s="31"/>
      <c r="E29" s="34"/>
      <c r="F29" s="31"/>
      <c r="G29" s="34" t="s">
        <v>866</v>
      </c>
      <c r="H29" s="31" t="s">
        <v>71</v>
      </c>
      <c r="I29" s="34"/>
      <c r="J29" s="31"/>
      <c r="K29" s="34"/>
      <c r="L29" s="31"/>
      <c r="M29" s="34"/>
      <c r="N29" s="30" t="s">
        <v>1295</v>
      </c>
      <c r="O29" s="34"/>
      <c r="P29" s="31"/>
      <c r="Q29" s="34"/>
      <c r="R29" s="31"/>
      <c r="S29" s="34" t="s">
        <v>87</v>
      </c>
      <c r="T29" s="31" t="s">
        <v>427</v>
      </c>
      <c r="U29" s="34" t="s">
        <v>915</v>
      </c>
      <c r="V29" s="31" t="s">
        <v>1258</v>
      </c>
      <c r="W29" s="34"/>
      <c r="X29" s="31" t="s">
        <v>401</v>
      </c>
      <c r="Y29" s="34"/>
      <c r="Z29" s="31"/>
      <c r="AA29" s="34"/>
      <c r="AB29" s="31"/>
      <c r="AC29" s="34"/>
      <c r="AD29" s="31"/>
      <c r="AE29" s="34"/>
      <c r="AF29" s="31"/>
      <c r="AG29" s="34"/>
      <c r="AH29" s="31"/>
      <c r="AI29" s="34" t="s">
        <v>202</v>
      </c>
      <c r="AJ29" s="31"/>
      <c r="AK29" s="34" t="s">
        <v>882</v>
      </c>
      <c r="AL29" s="31"/>
      <c r="AM29" s="34"/>
      <c r="AN29" s="31"/>
      <c r="AO29" s="34" t="s">
        <v>497</v>
      </c>
      <c r="AP29" s="31" t="s">
        <v>1231</v>
      </c>
      <c r="AQ29" s="34"/>
      <c r="AR29" s="31"/>
      <c r="AS29" s="34" t="s">
        <v>60</v>
      </c>
      <c r="AT29" s="31"/>
      <c r="AU29" s="34"/>
      <c r="AV29" s="31" t="s">
        <v>199</v>
      </c>
      <c r="AW29" s="34" t="s">
        <v>865</v>
      </c>
      <c r="AX29" s="31"/>
      <c r="AY29" s="34"/>
      <c r="AZ29" s="31" t="s">
        <v>397</v>
      </c>
      <c r="BA29" s="34" t="s">
        <v>351</v>
      </c>
      <c r="BB29" s="31"/>
      <c r="BC29" s="34"/>
      <c r="BD29" s="31"/>
      <c r="BE29" s="34" t="s">
        <v>1215</v>
      </c>
      <c r="BF29" s="31"/>
      <c r="BG29" s="34" t="s">
        <v>911</v>
      </c>
      <c r="BH29" s="31"/>
      <c r="BI29" s="34"/>
      <c r="BJ29" s="31" t="s">
        <v>321</v>
      </c>
      <c r="BK29" s="34" t="s">
        <v>148</v>
      </c>
      <c r="BL29" s="31"/>
      <c r="BM29" s="34"/>
      <c r="BN29" s="31" t="s">
        <v>258</v>
      </c>
      <c r="BO29" s="34"/>
      <c r="BP29" s="31"/>
      <c r="BQ29" s="34" t="s">
        <v>391</v>
      </c>
      <c r="BR29" s="31"/>
      <c r="BS29" s="34"/>
      <c r="BT29" s="31"/>
      <c r="BU29" s="34"/>
      <c r="BV29" s="31" t="s">
        <v>330</v>
      </c>
      <c r="BW29" s="34" t="s">
        <v>532</v>
      </c>
      <c r="BX29" s="31" t="s">
        <v>280</v>
      </c>
      <c r="BY29" s="34" t="s">
        <v>211</v>
      </c>
      <c r="BZ29" s="31"/>
      <c r="CA29" s="34" t="s">
        <v>853</v>
      </c>
      <c r="CB29" s="31"/>
      <c r="CC29" s="34"/>
      <c r="CD29" s="31" t="s">
        <v>526</v>
      </c>
      <c r="CE29" s="34" t="s">
        <v>275</v>
      </c>
      <c r="CF29" s="31" t="s">
        <v>253</v>
      </c>
      <c r="CG29" s="34"/>
      <c r="CH29" s="31" t="s">
        <v>929</v>
      </c>
      <c r="CI29" s="34" t="s">
        <v>876</v>
      </c>
      <c r="CJ29" s="31"/>
      <c r="CK29" s="34"/>
      <c r="CL29" s="31"/>
      <c r="CM29" s="34"/>
      <c r="CN29" s="31" t="s">
        <v>487</v>
      </c>
      <c r="CO29" s="34" t="s">
        <v>307</v>
      </c>
      <c r="CP29" s="31" t="s">
        <v>296</v>
      </c>
      <c r="CQ29" s="34"/>
      <c r="CR29" s="31" t="s">
        <v>261</v>
      </c>
      <c r="CS29" s="34" t="s">
        <v>892</v>
      </c>
      <c r="CT29" s="31" t="s">
        <v>494</v>
      </c>
      <c r="CU29" s="34" t="s">
        <v>99</v>
      </c>
      <c r="CV29" s="31" t="s">
        <v>852</v>
      </c>
      <c r="CW29" s="34"/>
      <c r="CX29" s="31"/>
      <c r="CY29" s="34"/>
      <c r="CZ29" s="31"/>
      <c r="DA29" s="34"/>
      <c r="DB29" s="31"/>
      <c r="DC29" s="34"/>
      <c r="DD29" s="31"/>
      <c r="DE29" s="34" t="s">
        <v>134</v>
      </c>
      <c r="DF29" s="31"/>
      <c r="DG29" s="34" t="s">
        <v>37</v>
      </c>
      <c r="DH29" s="31" t="s">
        <v>220</v>
      </c>
      <c r="DI29" s="34"/>
      <c r="DJ29" s="31" t="s">
        <v>272</v>
      </c>
      <c r="DK29" s="34"/>
      <c r="DL29" s="31" t="s">
        <v>428</v>
      </c>
      <c r="DM29" s="34"/>
      <c r="DN29" s="31" t="s">
        <v>868</v>
      </c>
      <c r="DO29" s="34" t="s">
        <v>234</v>
      </c>
      <c r="DP29" s="31"/>
      <c r="DQ29" s="34"/>
      <c r="DR29" s="31" t="s">
        <v>908</v>
      </c>
      <c r="DS29" s="34"/>
      <c r="DT29" s="31"/>
      <c r="DU29" s="34" t="s">
        <v>267</v>
      </c>
      <c r="DV29" s="31" t="s">
        <v>109</v>
      </c>
      <c r="DW29" s="34" t="s">
        <v>895</v>
      </c>
      <c r="DX29" s="31" t="s">
        <v>932</v>
      </c>
      <c r="DY29" s="34"/>
      <c r="DZ29" s="31"/>
      <c r="EA29" s="34" t="s">
        <v>595</v>
      </c>
      <c r="EB29" s="31"/>
      <c r="EC29" s="34"/>
      <c r="ED29" s="31"/>
      <c r="EE29" s="34" t="s">
        <v>83</v>
      </c>
      <c r="EF29" s="31" t="s">
        <v>357</v>
      </c>
      <c r="EG29" s="34" t="s">
        <v>413</v>
      </c>
      <c r="EH29" s="31" t="s">
        <v>250</v>
      </c>
      <c r="EI29" s="34"/>
      <c r="EJ29" s="31"/>
      <c r="EK29" s="34"/>
      <c r="EL29" s="31"/>
      <c r="EM29" s="34"/>
      <c r="EN29" s="31"/>
      <c r="EO29" s="34"/>
      <c r="EP29" s="31"/>
      <c r="EQ29" s="34" t="s">
        <v>363</v>
      </c>
      <c r="ER29" s="31" t="s">
        <v>468</v>
      </c>
      <c r="ES29" s="34" t="s">
        <v>935</v>
      </c>
      <c r="ET29" s="31"/>
      <c r="EU29" s="34"/>
      <c r="EV29" s="31" t="s">
        <v>286</v>
      </c>
      <c r="EW29" s="34" t="s">
        <v>983</v>
      </c>
      <c r="EX29" s="31"/>
      <c r="EY29" s="34" t="s">
        <v>559</v>
      </c>
      <c r="EZ29" s="31"/>
      <c r="FA29" s="34"/>
      <c r="FB29" s="31"/>
      <c r="FC29" s="34"/>
      <c r="FD29" s="31" t="s">
        <v>484</v>
      </c>
      <c r="FE29" s="34" t="s">
        <v>909</v>
      </c>
      <c r="FF29" s="31"/>
      <c r="FG29" s="34"/>
      <c r="FH29" s="31"/>
      <c r="FI29" s="34" t="s">
        <v>354</v>
      </c>
      <c r="FJ29" s="31"/>
      <c r="FK29" s="34"/>
      <c r="FL29" s="31"/>
      <c r="FM29" s="34"/>
      <c r="FN29" s="31" t="s">
        <v>465</v>
      </c>
      <c r="FO29" s="34"/>
      <c r="FP29" s="31"/>
      <c r="FQ29" s="34" t="s">
        <v>171</v>
      </c>
      <c r="FR29" s="31"/>
      <c r="FS29" s="38" t="s">
        <v>237</v>
      </c>
      <c r="FT29" s="39"/>
      <c r="FU29" s="34" t="s">
        <v>630</v>
      </c>
      <c r="FV29" s="31"/>
      <c r="FW29" s="34"/>
      <c r="FX29" s="31"/>
      <c r="FY29" s="34"/>
      <c r="FZ29" s="31"/>
      <c r="GA29" s="34"/>
      <c r="GB29" s="31"/>
      <c r="GC29" s="34"/>
      <c r="GD29" s="31"/>
      <c r="GE29" s="34"/>
      <c r="GF29" s="31"/>
      <c r="GG29" s="34" t="s">
        <v>864</v>
      </c>
      <c r="GH29" s="31"/>
      <c r="GI29" s="34" t="s">
        <v>454</v>
      </c>
      <c r="GJ29" s="31"/>
      <c r="GK29" s="34"/>
      <c r="GL29" s="31" t="s">
        <v>106</v>
      </c>
      <c r="GM29" s="34" t="s">
        <v>501</v>
      </c>
      <c r="GN29" s="31"/>
      <c r="GO29" s="34" t="s">
        <v>96</v>
      </c>
      <c r="GP29" s="31"/>
      <c r="GQ29" s="34" t="s">
        <v>244</v>
      </c>
      <c r="GR29" s="31" t="s">
        <v>318</v>
      </c>
      <c r="GS29" s="34"/>
      <c r="GT29" s="31"/>
      <c r="GU29" s="34"/>
      <c r="GV29" s="31"/>
      <c r="GW29" s="34" t="s">
        <v>227</v>
      </c>
      <c r="GX29" s="31"/>
      <c r="GY29" s="34" t="s">
        <v>556</v>
      </c>
      <c r="GZ29" s="31" t="s">
        <v>894</v>
      </c>
      <c r="HA29" s="34"/>
      <c r="HB29" s="31" t="s">
        <v>333</v>
      </c>
      <c r="HC29" s="34"/>
      <c r="HD29" s="30" t="s">
        <v>102</v>
      </c>
      <c r="HE29" s="34" t="s">
        <v>901</v>
      </c>
      <c r="HF29" s="31" t="s">
        <v>337</v>
      </c>
      <c r="HG29" s="34" t="s">
        <v>925</v>
      </c>
      <c r="HH29" s="31" t="s">
        <v>297</v>
      </c>
      <c r="HI29" s="34"/>
      <c r="HJ29" s="31" t="s">
        <v>1055</v>
      </c>
      <c r="HK29" s="34" t="s">
        <v>77</v>
      </c>
      <c r="HL29" s="31"/>
      <c r="HM29" s="34"/>
      <c r="HN29" s="31"/>
      <c r="HO29" s="34" t="s">
        <v>523</v>
      </c>
      <c r="HP29" s="31"/>
      <c r="HQ29" s="34" t="s">
        <v>1303</v>
      </c>
      <c r="HR29" s="31"/>
      <c r="HS29" s="34" t="s">
        <v>195</v>
      </c>
      <c r="HT29" s="31"/>
      <c r="HU29" s="34" t="s">
        <v>183</v>
      </c>
      <c r="HV29" s="31"/>
      <c r="HW29" s="34" t="s">
        <v>913</v>
      </c>
      <c r="HX29" s="39" t="s">
        <v>163</v>
      </c>
      <c r="HY29" s="39" t="s">
        <v>877</v>
      </c>
      <c r="HZ29" s="31"/>
      <c r="IA29" s="34" t="s">
        <v>544</v>
      </c>
      <c r="IB29" s="31" t="s">
        <v>952</v>
      </c>
      <c r="IC29" s="34" t="s">
        <v>856</v>
      </c>
      <c r="ID29" s="31" t="s">
        <v>118</v>
      </c>
      <c r="IE29" s="34"/>
      <c r="IF29" s="31" t="s">
        <v>513</v>
      </c>
      <c r="IG29" s="34"/>
      <c r="IH29" s="31"/>
      <c r="II29" s="34"/>
      <c r="IJ29" s="31"/>
      <c r="IK29" s="34" t="s">
        <v>937</v>
      </c>
      <c r="IL29" s="31" t="s">
        <v>80</v>
      </c>
      <c r="IM29" s="34" t="s">
        <v>175</v>
      </c>
      <c r="IN29" s="31"/>
      <c r="IO29" s="34"/>
      <c r="IP29" s="31" t="s">
        <v>45</v>
      </c>
      <c r="IQ29" s="34"/>
      <c r="IR29" s="31"/>
      <c r="IS29" s="34"/>
      <c r="IT29" s="31" t="s">
        <v>855</v>
      </c>
      <c r="IU29" s="34" t="s">
        <v>480</v>
      </c>
      <c r="IV29" s="31" t="s">
        <v>315</v>
      </c>
      <c r="IW29" s="34"/>
      <c r="IX29" s="31" t="s">
        <v>344</v>
      </c>
      <c r="IY29" s="34"/>
      <c r="IZ29" s="31"/>
      <c r="JA29" s="34" t="s">
        <v>871</v>
      </c>
      <c r="JB29" s="36" t="s">
        <v>885</v>
      </c>
    </row>
    <row r="30" spans="1:262" ht="30" customHeight="1" x14ac:dyDescent="0.25">
      <c r="A30" s="26" t="s">
        <v>1259</v>
      </c>
      <c r="B30" s="48" t="str">
        <f t="shared" si="0"/>
        <v>1st Choice Development
ACR Solar
Alpha Energy Management, Inc.
Apollo Home Performance
Aztec Solar Inc.
Baker Electric
Bright Power
Byers
California Solar Electric Cooperative
California Solar Integrators, Inc.
California State Development
Centrica Business Solutions
Chico Electric
Citadel Roofing &amp; Solar
Climatec
Communication Infrastructure Corporation (CIC)
Corona Solar
DC Solar Electric, Inc
Economic Energy Solutions
EDF Renewables Distributed Solutions
Enable Energy, Inc.
Enel X North America
Energy Independence Group
Engie Services US
ForeFront Power
Freevolt
Gold Rush Energy Solutions
Green Water and Power
GRID Alternatives
GS Homes
Horizon Solar Power
Ilum Solar
Infinity Energy Inc
Kuubix Energy, Inc.
LA Solar Group
Laibach Solar
LLUMETEC
Mack Electric/Gardner Energy
Modernize Construction
North State Solar Energy Construction
NRG Clean Power
Pacific Rim ConstructioRAM SOLAR
Promise Energy Inc
REC Solar
Sage Energy Consulting
Sarter Construction &amp; Design, Inc / Off the Grid Design / Sol Lux Alpha
Sierra Pacific
Solar Gain West LLC
Solar Pros Inc.
Solar Savings Direct
SolarNorcal, LLC
Spreck Energy
Stem, Inc.
Stronghold Engineering
Sun River Solar
Sunnova Energy
SunPower by Hooked On Solar
SunPower Corporation
SunStor
Sunterra Solar Inc
Sunworks
Sustainable Energy Group
Swell Energy
V3 Electric Inc
Westhaven Inc.
Your Energy Source (YES)</v>
      </c>
      <c r="C30" s="29" t="s">
        <v>857</v>
      </c>
      <c r="D30" s="31"/>
      <c r="E30" s="34"/>
      <c r="F30" s="31"/>
      <c r="G30" s="34" t="s">
        <v>866</v>
      </c>
      <c r="H30" s="31"/>
      <c r="I30" s="34"/>
      <c r="J30" s="31"/>
      <c r="K30" s="34"/>
      <c r="L30" s="31"/>
      <c r="M30" s="34"/>
      <c r="N30" s="30" t="s">
        <v>1295</v>
      </c>
      <c r="O30" s="34"/>
      <c r="P30" s="31"/>
      <c r="Q30" s="34"/>
      <c r="R30" s="31"/>
      <c r="S30" s="34"/>
      <c r="T30" s="31"/>
      <c r="U30" s="34" t="s">
        <v>915</v>
      </c>
      <c r="V30" s="31"/>
      <c r="W30" s="34"/>
      <c r="X30" s="31" t="s">
        <v>401</v>
      </c>
      <c r="Y30" s="34"/>
      <c r="Z30" s="31" t="s">
        <v>883</v>
      </c>
      <c r="AA30" s="34"/>
      <c r="AB30" s="31"/>
      <c r="AC30" s="34"/>
      <c r="AD30" s="31"/>
      <c r="AE30" s="34"/>
      <c r="AF30" s="31"/>
      <c r="AG30" s="34"/>
      <c r="AH30" s="31"/>
      <c r="AI30" s="34" t="s">
        <v>202</v>
      </c>
      <c r="AJ30" s="31"/>
      <c r="AK30" s="34" t="s">
        <v>882</v>
      </c>
      <c r="AL30" s="31"/>
      <c r="AM30" s="34"/>
      <c r="AN30" s="31" t="s">
        <v>505</v>
      </c>
      <c r="AO30" s="34" t="s">
        <v>497</v>
      </c>
      <c r="AP30" s="31" t="s">
        <v>1231</v>
      </c>
      <c r="AQ30" s="34"/>
      <c r="AR30" s="31"/>
      <c r="AS30" s="34" t="s">
        <v>60</v>
      </c>
      <c r="AT30" s="31" t="s">
        <v>205</v>
      </c>
      <c r="AU30" s="34"/>
      <c r="AV30" s="31" t="s">
        <v>199</v>
      </c>
      <c r="AW30" s="34"/>
      <c r="AX30" s="31"/>
      <c r="AY30" s="34"/>
      <c r="AZ30" s="31"/>
      <c r="BA30" s="34" t="s">
        <v>351</v>
      </c>
      <c r="BB30" s="31"/>
      <c r="BC30" s="34"/>
      <c r="BD30" s="31"/>
      <c r="BE30" s="34" t="s">
        <v>1215</v>
      </c>
      <c r="BF30" s="31"/>
      <c r="BG30" s="34" t="s">
        <v>911</v>
      </c>
      <c r="BH30" s="31"/>
      <c r="BI30" s="34"/>
      <c r="BJ30" s="31" t="s">
        <v>321</v>
      </c>
      <c r="BK30" s="34"/>
      <c r="BL30" s="31"/>
      <c r="BM30" s="34"/>
      <c r="BN30" s="31"/>
      <c r="BO30" s="34" t="s">
        <v>914</v>
      </c>
      <c r="BP30" s="31"/>
      <c r="BQ30" s="34" t="s">
        <v>391</v>
      </c>
      <c r="BR30" s="31"/>
      <c r="BS30" s="34"/>
      <c r="BT30" s="31"/>
      <c r="BU30" s="34"/>
      <c r="BV30" s="31" t="s">
        <v>330</v>
      </c>
      <c r="BW30" s="34" t="s">
        <v>532</v>
      </c>
      <c r="BX30" s="31" t="s">
        <v>280</v>
      </c>
      <c r="BY30" s="34"/>
      <c r="BZ30" s="31"/>
      <c r="CA30" s="34" t="s">
        <v>853</v>
      </c>
      <c r="CB30" s="31"/>
      <c r="CC30" s="34"/>
      <c r="CD30" s="31"/>
      <c r="CE30" s="34" t="s">
        <v>275</v>
      </c>
      <c r="CF30" s="31" t="s">
        <v>253</v>
      </c>
      <c r="CG30" s="34"/>
      <c r="CH30" s="31"/>
      <c r="CI30" s="34"/>
      <c r="CJ30" s="31"/>
      <c r="CK30" s="34"/>
      <c r="CL30" s="31"/>
      <c r="CM30" s="34"/>
      <c r="CN30" s="31" t="s">
        <v>487</v>
      </c>
      <c r="CO30" s="34"/>
      <c r="CP30" s="31"/>
      <c r="CQ30" s="34"/>
      <c r="CR30" s="31"/>
      <c r="CS30" s="34" t="s">
        <v>892</v>
      </c>
      <c r="CT30" s="31"/>
      <c r="CU30" s="34" t="s">
        <v>99</v>
      </c>
      <c r="CV30" s="31" t="s">
        <v>852</v>
      </c>
      <c r="CW30" s="34"/>
      <c r="CX30" s="31"/>
      <c r="CY30" s="34"/>
      <c r="CZ30" s="31"/>
      <c r="DA30" s="34"/>
      <c r="DB30" s="31"/>
      <c r="DC30" s="34"/>
      <c r="DD30" s="31"/>
      <c r="DE30" s="34" t="s">
        <v>134</v>
      </c>
      <c r="DF30" s="31"/>
      <c r="DG30" s="34"/>
      <c r="DH30" s="31"/>
      <c r="DI30" s="34"/>
      <c r="DJ30" s="31" t="s">
        <v>272</v>
      </c>
      <c r="DK30" s="34"/>
      <c r="DL30" s="31" t="s">
        <v>428</v>
      </c>
      <c r="DM30" s="34"/>
      <c r="DN30" s="31"/>
      <c r="DO30" s="34"/>
      <c r="DP30" s="31"/>
      <c r="DQ30" s="34"/>
      <c r="DR30" s="31"/>
      <c r="DS30" s="34"/>
      <c r="DT30" s="31"/>
      <c r="DU30" s="34"/>
      <c r="DV30" s="31" t="s">
        <v>109</v>
      </c>
      <c r="DW30" s="34" t="s">
        <v>895</v>
      </c>
      <c r="DX30" s="31" t="s">
        <v>932</v>
      </c>
      <c r="DY30" s="34"/>
      <c r="DZ30" s="31"/>
      <c r="EA30" s="34" t="s">
        <v>595</v>
      </c>
      <c r="EB30" s="31"/>
      <c r="EC30" s="34"/>
      <c r="ED30" s="31"/>
      <c r="EE30" s="34" t="s">
        <v>83</v>
      </c>
      <c r="EF30" s="31"/>
      <c r="EG30" s="34"/>
      <c r="EH30" s="31"/>
      <c r="EI30" s="34"/>
      <c r="EJ30" s="31" t="s">
        <v>136</v>
      </c>
      <c r="EK30" s="34"/>
      <c r="EL30" s="31"/>
      <c r="EM30" s="34"/>
      <c r="EN30" s="31"/>
      <c r="EO30" s="34"/>
      <c r="EP30" s="31"/>
      <c r="EQ30" s="34" t="s">
        <v>363</v>
      </c>
      <c r="ER30" s="31"/>
      <c r="ES30" s="34" t="s">
        <v>935</v>
      </c>
      <c r="ET30" s="31"/>
      <c r="EU30" s="34"/>
      <c r="EV30" s="31"/>
      <c r="EW30" s="34" t="s">
        <v>983</v>
      </c>
      <c r="EX30" s="31"/>
      <c r="EY30" s="34"/>
      <c r="EZ30" s="31"/>
      <c r="FA30" s="34"/>
      <c r="FB30" s="31"/>
      <c r="FC30" s="34"/>
      <c r="FD30" s="31" t="s">
        <v>484</v>
      </c>
      <c r="FE30" s="34"/>
      <c r="FF30" s="31"/>
      <c r="FG30" s="34"/>
      <c r="FH30" s="31"/>
      <c r="FI30" s="34" t="s">
        <v>354</v>
      </c>
      <c r="FJ30" s="31"/>
      <c r="FK30" s="34"/>
      <c r="FL30" s="31"/>
      <c r="FM30" s="34"/>
      <c r="FN30" s="31" t="s">
        <v>465</v>
      </c>
      <c r="FO30" s="34"/>
      <c r="FP30" s="31"/>
      <c r="FQ30" s="34" t="s">
        <v>171</v>
      </c>
      <c r="FR30" s="31"/>
      <c r="FS30" s="39"/>
      <c r="FT30" s="39"/>
      <c r="FU30" s="34"/>
      <c r="FV30" s="31"/>
      <c r="FW30" s="34" t="s">
        <v>886</v>
      </c>
      <c r="FX30" s="31"/>
      <c r="FY30" s="34"/>
      <c r="FZ30" s="31"/>
      <c r="GA30" s="34"/>
      <c r="GB30" s="31"/>
      <c r="GC30" s="34"/>
      <c r="GD30" s="31"/>
      <c r="GE30" s="34"/>
      <c r="GF30" s="31"/>
      <c r="GG30" s="34"/>
      <c r="GH30" s="31"/>
      <c r="GI30" s="34" t="s">
        <v>454</v>
      </c>
      <c r="GJ30" s="31"/>
      <c r="GK30" s="34"/>
      <c r="GL30" s="31"/>
      <c r="GM30" s="34" t="s">
        <v>501</v>
      </c>
      <c r="GN30" s="31"/>
      <c r="GO30" s="34" t="s">
        <v>96</v>
      </c>
      <c r="GP30" s="31"/>
      <c r="GQ30" s="34"/>
      <c r="GR30" s="31"/>
      <c r="GS30" s="34"/>
      <c r="GT30" s="31"/>
      <c r="GU30" s="34" t="s">
        <v>160</v>
      </c>
      <c r="GV30" s="31"/>
      <c r="GW30" s="34"/>
      <c r="GX30" s="31"/>
      <c r="GY30" s="34"/>
      <c r="GZ30" s="31" t="s">
        <v>894</v>
      </c>
      <c r="HA30" s="34"/>
      <c r="HB30" s="31"/>
      <c r="HC30" s="34"/>
      <c r="HD30" s="30" t="s">
        <v>102</v>
      </c>
      <c r="HE30" s="34" t="s">
        <v>901</v>
      </c>
      <c r="HF30" s="31"/>
      <c r="HG30" s="34"/>
      <c r="HH30" s="31" t="s">
        <v>297</v>
      </c>
      <c r="HI30" s="34"/>
      <c r="HJ30" s="31"/>
      <c r="HK30" s="34"/>
      <c r="HL30" s="31"/>
      <c r="HM30" s="34"/>
      <c r="HN30" s="31"/>
      <c r="HO30" s="34" t="s">
        <v>523</v>
      </c>
      <c r="HP30" s="31"/>
      <c r="HQ30" s="34" t="s">
        <v>1303</v>
      </c>
      <c r="HR30" s="31"/>
      <c r="HS30" s="34" t="s">
        <v>195</v>
      </c>
      <c r="HT30" s="31"/>
      <c r="HU30" s="34" t="s">
        <v>183</v>
      </c>
      <c r="HV30" s="31"/>
      <c r="HW30" s="34"/>
      <c r="HX30" s="39" t="s">
        <v>163</v>
      </c>
      <c r="HY30" s="39" t="s">
        <v>877</v>
      </c>
      <c r="HZ30" s="31" t="s">
        <v>49</v>
      </c>
      <c r="IA30" s="34"/>
      <c r="IB30" s="31"/>
      <c r="IC30" s="34" t="s">
        <v>856</v>
      </c>
      <c r="ID30" s="31"/>
      <c r="IE30" s="34"/>
      <c r="IF30" s="31"/>
      <c r="IG30" s="34"/>
      <c r="IH30" s="31"/>
      <c r="II30" s="34"/>
      <c r="IJ30" s="31"/>
      <c r="IK30" s="34"/>
      <c r="IL30" s="31"/>
      <c r="IM30" s="34" t="s">
        <v>175</v>
      </c>
      <c r="IN30" s="31"/>
      <c r="IO30" s="34"/>
      <c r="IP30" s="31"/>
      <c r="IQ30" s="34"/>
      <c r="IR30" s="31"/>
      <c r="IS30" s="34"/>
      <c r="IT30" s="31"/>
      <c r="IU30" s="34"/>
      <c r="IV30" s="31" t="s">
        <v>315</v>
      </c>
      <c r="IW30" s="34"/>
      <c r="IX30" s="31"/>
      <c r="IY30" s="34"/>
      <c r="IZ30" s="31"/>
      <c r="JA30" s="34" t="s">
        <v>871</v>
      </c>
      <c r="JB30" s="36"/>
    </row>
    <row r="31" spans="1:262" ht="30" customHeight="1" x14ac:dyDescent="0.25">
      <c r="A31" s="27" t="s">
        <v>1260</v>
      </c>
      <c r="B31" s="48" t="str">
        <f t="shared" si="0"/>
        <v>1st Choice Development
Aeterna Energy
Alpha Energy Management, Inc.
Altadena Energy and Solar
Altair Solar Inc
ALX Company, Inc.
Ameresco Solar
Apollo Home Performance
AWS Electrical &amp; Solar Inc.
Baker Electric
Baker Electric Home Energy
Belmont Energy
Blalock Electric &amp; Solar Inc.
Blue Planet Water and Power Company
Blue Sky Energy
Bright Life Solar
Bright Power
California Solar Integrators, Inc.
California State Development
Centrica Business Solutions
Citadel Roofing &amp; Solar
Climatec
Communication Infrastructure Corporation (CIC)
Cosmic Solar
DC Solar Electric, Inc
EcoSolar USA
EDF Renewables Distributed Solutions
Effect Energy, Inc
Electro Thermal
Enel X North America
Energy Independence Group
Energy Innovative Solutions LLC
Engie Services US
ForeFront Power
Freevolt
FreeVolt USA INC
Future Energy Corporation
Go Green Solar
Gold Rush Energy Solutions
Golden State Power
Green Water and Power
GRID Alternatives
GS Homes
Guasti Solar
Harrison Electric and Solar
HES Solar
Home Grown Energy Solutions
Horizon Solar Power
Ilum Solar
Infinity Energy Inc
Kota Construction
Kuubix Energy, Inc.
LA Solar Group
LED Power Saver
LLUMETEC
Mack Electric/Gardner Energy
NB Baker LTD (Baker Electric Home Energy)
Neighborhood ACE
New Day Solar
NextGen Construction
Nopec, Inc d/b/a Run on Sun
NRG Clean Power
Option One Solar
Pacific Rim ConstructioRAM SOLAR
Pacific Sun Technologies
PacificWest Energy Solutions, Inc.
Palomar Solar and Roofing
Plug It In Solar
Promise Energy Inc
REC Solar
Revel Energy
Sage Energy Consulting
Sattler Solar Inc.
Semper Solaris
Simply Solar
Skelly Electric
SKR Solar
Solar Forward
Solar Gain West LLC
Solar Gem
Solar Optimum Inc
Solar Pros Inc.
Solar Spectrom
Solar Symphony Construction Inc
Stada Energy
Stellar Solar
Stem, Inc.
Stronghold Engineering
SunGreen Systems
Sunistics Group
Sunnova Energy
SunPower Corporation
Sunstreet
Sunterra Solar Inc
Sunworks
Sustineo
Swell Energy
Tree Public
Treeium Energy
V3 Electric Inc
Vector Green Power and Materials LLC
Vivint Solar
Voltage River
Xero Solar
Xnergy
Your Energy Source (YES)</v>
      </c>
      <c r="C31" s="29" t="s">
        <v>857</v>
      </c>
      <c r="D31" s="31"/>
      <c r="E31" s="34"/>
      <c r="F31" s="31"/>
      <c r="G31" s="34"/>
      <c r="H31" s="31"/>
      <c r="I31" s="34" t="s">
        <v>1233</v>
      </c>
      <c r="J31" s="31"/>
      <c r="K31" s="34"/>
      <c r="L31" s="31"/>
      <c r="M31" s="34"/>
      <c r="N31" s="30" t="s">
        <v>1295</v>
      </c>
      <c r="O31" s="34" t="s">
        <v>941</v>
      </c>
      <c r="P31" s="31" t="s">
        <v>122</v>
      </c>
      <c r="Q31" s="34"/>
      <c r="R31" s="31" t="s">
        <v>936</v>
      </c>
      <c r="S31" s="34"/>
      <c r="T31" s="31" t="s">
        <v>427</v>
      </c>
      <c r="U31" s="34" t="s">
        <v>915</v>
      </c>
      <c r="V31" s="31"/>
      <c r="W31" s="34" t="s">
        <v>293</v>
      </c>
      <c r="X31" s="31"/>
      <c r="Y31" s="34"/>
      <c r="Z31" s="31" t="s">
        <v>883</v>
      </c>
      <c r="AA31" s="34" t="s">
        <v>360</v>
      </c>
      <c r="AB31" s="31" t="s">
        <v>942</v>
      </c>
      <c r="AC31" s="34"/>
      <c r="AD31" s="31" t="s">
        <v>553</v>
      </c>
      <c r="AE31" s="34" t="s">
        <v>943</v>
      </c>
      <c r="AF31" s="31" t="s">
        <v>1232</v>
      </c>
      <c r="AG31" s="34"/>
      <c r="AH31" s="31" t="s">
        <v>549</v>
      </c>
      <c r="AI31" s="34" t="s">
        <v>202</v>
      </c>
      <c r="AJ31" s="31"/>
      <c r="AK31" s="34"/>
      <c r="AL31" s="31"/>
      <c r="AM31" s="34"/>
      <c r="AN31" s="31"/>
      <c r="AO31" s="34" t="s">
        <v>497</v>
      </c>
      <c r="AP31" s="31" t="s">
        <v>1231</v>
      </c>
      <c r="AQ31" s="34"/>
      <c r="AR31" s="31"/>
      <c r="AS31" s="34" t="s">
        <v>60</v>
      </c>
      <c r="AT31" s="31"/>
      <c r="AU31" s="34"/>
      <c r="AV31" s="31" t="s">
        <v>199</v>
      </c>
      <c r="AW31" s="34"/>
      <c r="AX31" s="31"/>
      <c r="AY31" s="34"/>
      <c r="AZ31" s="31"/>
      <c r="BA31" s="34" t="s">
        <v>351</v>
      </c>
      <c r="BB31" s="31"/>
      <c r="BC31" s="34"/>
      <c r="BD31" s="31"/>
      <c r="BE31" s="34" t="s">
        <v>1215</v>
      </c>
      <c r="BF31" s="31"/>
      <c r="BG31" s="34"/>
      <c r="BH31" s="31" t="s">
        <v>850</v>
      </c>
      <c r="BI31" s="34"/>
      <c r="BJ31" s="31" t="s">
        <v>321</v>
      </c>
      <c r="BK31" s="34"/>
      <c r="BL31" s="31"/>
      <c r="BM31" s="34"/>
      <c r="BN31" s="31"/>
      <c r="BO31" s="34"/>
      <c r="BP31" s="31" t="s">
        <v>917</v>
      </c>
      <c r="BQ31" s="34" t="s">
        <v>391</v>
      </c>
      <c r="BR31" s="31" t="s">
        <v>190</v>
      </c>
      <c r="BS31" s="34" t="s">
        <v>872</v>
      </c>
      <c r="BT31" s="31"/>
      <c r="BU31" s="34"/>
      <c r="BV31" s="31"/>
      <c r="BW31" s="34" t="s">
        <v>532</v>
      </c>
      <c r="BX31" s="31" t="s">
        <v>280</v>
      </c>
      <c r="BY31" s="34" t="s">
        <v>211</v>
      </c>
      <c r="BZ31" s="31"/>
      <c r="CA31" s="34" t="s">
        <v>853</v>
      </c>
      <c r="CB31" s="31"/>
      <c r="CC31" s="34"/>
      <c r="CD31" s="31"/>
      <c r="CE31" s="34" t="s">
        <v>275</v>
      </c>
      <c r="CF31" s="31" t="s">
        <v>253</v>
      </c>
      <c r="CG31" s="34" t="s">
        <v>327</v>
      </c>
      <c r="CH31" s="31"/>
      <c r="CI31" s="34"/>
      <c r="CJ31" s="31" t="s">
        <v>323</v>
      </c>
      <c r="CK31" s="34"/>
      <c r="CL31" s="31" t="s">
        <v>417</v>
      </c>
      <c r="CM31" s="34"/>
      <c r="CN31" s="31" t="s">
        <v>487</v>
      </c>
      <c r="CO31" s="34"/>
      <c r="CP31" s="31" t="s">
        <v>296</v>
      </c>
      <c r="CQ31" s="34"/>
      <c r="CR31" s="31"/>
      <c r="CS31" s="34" t="s">
        <v>892</v>
      </c>
      <c r="CT31" s="31"/>
      <c r="CU31" s="34" t="s">
        <v>99</v>
      </c>
      <c r="CV31" s="31" t="s">
        <v>852</v>
      </c>
      <c r="CW31" s="34"/>
      <c r="CX31" s="31" t="s">
        <v>859</v>
      </c>
      <c r="CY31" s="34" t="s">
        <v>873</v>
      </c>
      <c r="CZ31" s="31"/>
      <c r="DA31" s="34" t="s">
        <v>485</v>
      </c>
      <c r="DB31" s="31"/>
      <c r="DC31" s="34" t="s">
        <v>920</v>
      </c>
      <c r="DD31" s="31"/>
      <c r="DE31" s="34" t="s">
        <v>134</v>
      </c>
      <c r="DF31" s="31"/>
      <c r="DG31" s="34"/>
      <c r="DH31" s="31"/>
      <c r="DI31" s="34"/>
      <c r="DJ31" s="31" t="s">
        <v>272</v>
      </c>
      <c r="DK31" s="34"/>
      <c r="DL31" s="31" t="s">
        <v>428</v>
      </c>
      <c r="DM31" s="34"/>
      <c r="DN31" s="31"/>
      <c r="DO31" s="34"/>
      <c r="DP31" s="31"/>
      <c r="DQ31" s="34"/>
      <c r="DR31" s="31"/>
      <c r="DS31" s="34"/>
      <c r="DT31" s="31"/>
      <c r="DU31" s="34" t="s">
        <v>267</v>
      </c>
      <c r="DV31" s="31" t="s">
        <v>109</v>
      </c>
      <c r="DW31" s="34" t="s">
        <v>895</v>
      </c>
      <c r="DX31" s="31"/>
      <c r="DY31" s="34" t="s">
        <v>889</v>
      </c>
      <c r="DZ31" s="31"/>
      <c r="EA31" s="34" t="s">
        <v>595</v>
      </c>
      <c r="EB31" s="31"/>
      <c r="EC31" s="34"/>
      <c r="ED31" s="31"/>
      <c r="EE31" s="34" t="s">
        <v>83</v>
      </c>
      <c r="EF31" s="31"/>
      <c r="EG31" s="34"/>
      <c r="EH31" s="31"/>
      <c r="EI31" s="34"/>
      <c r="EJ31" s="31"/>
      <c r="EK31" s="34" t="s">
        <v>535</v>
      </c>
      <c r="EL31" s="31" t="s">
        <v>951</v>
      </c>
      <c r="EM31" s="34" t="s">
        <v>145</v>
      </c>
      <c r="EN31" s="31" t="s">
        <v>948</v>
      </c>
      <c r="EO31" s="34"/>
      <c r="EP31" s="31" t="s">
        <v>431</v>
      </c>
      <c r="EQ31" s="34"/>
      <c r="ER31" s="31"/>
      <c r="ES31" s="34" t="s">
        <v>935</v>
      </c>
      <c r="ET31" s="31"/>
      <c r="EU31" s="34" t="s">
        <v>264</v>
      </c>
      <c r="EV31" s="31"/>
      <c r="EW31" s="34" t="s">
        <v>983</v>
      </c>
      <c r="EX31" s="31" t="s">
        <v>903</v>
      </c>
      <c r="EY31" s="34" t="s">
        <v>559</v>
      </c>
      <c r="EZ31" s="31" t="s">
        <v>156</v>
      </c>
      <c r="FA31" s="34"/>
      <c r="FB31" s="31"/>
      <c r="FC31" s="34" t="s">
        <v>940</v>
      </c>
      <c r="FD31" s="31" t="s">
        <v>484</v>
      </c>
      <c r="FE31" s="34"/>
      <c r="FF31" s="31"/>
      <c r="FG31" s="34"/>
      <c r="FH31" s="31"/>
      <c r="FI31" s="34" t="s">
        <v>354</v>
      </c>
      <c r="FJ31" s="31"/>
      <c r="FK31" s="34" t="s">
        <v>341</v>
      </c>
      <c r="FL31" s="31"/>
      <c r="FM31" s="34"/>
      <c r="FN31" s="31" t="s">
        <v>465</v>
      </c>
      <c r="FO31" s="34"/>
      <c r="FP31" s="31"/>
      <c r="FQ31" s="34"/>
      <c r="FR31" s="31" t="s">
        <v>405</v>
      </c>
      <c r="FS31" s="39"/>
      <c r="FT31" s="39"/>
      <c r="FU31" s="34" t="s">
        <v>630</v>
      </c>
      <c r="FV31" s="31"/>
      <c r="FW31" s="34"/>
      <c r="FX31" s="31"/>
      <c r="FY31" s="34"/>
      <c r="FZ31" s="31" t="s">
        <v>933</v>
      </c>
      <c r="GA31" s="34" t="s">
        <v>874</v>
      </c>
      <c r="GB31" s="31" t="s">
        <v>893</v>
      </c>
      <c r="GC31" s="34"/>
      <c r="GD31" s="31"/>
      <c r="GE31" s="34"/>
      <c r="GF31" s="31"/>
      <c r="GG31" s="34"/>
      <c r="GH31" s="31" t="s">
        <v>897</v>
      </c>
      <c r="GI31" s="34" t="s">
        <v>454</v>
      </c>
      <c r="GJ31" s="31" t="s">
        <v>905</v>
      </c>
      <c r="GK31" s="34"/>
      <c r="GL31" s="31" t="s">
        <v>106</v>
      </c>
      <c r="GM31" s="34" t="s">
        <v>501</v>
      </c>
      <c r="GN31" s="31"/>
      <c r="GO31" s="34"/>
      <c r="GP31" s="31" t="s">
        <v>861</v>
      </c>
      <c r="GQ31" s="34" t="s">
        <v>244</v>
      </c>
      <c r="GR31" s="31"/>
      <c r="GS31" s="34"/>
      <c r="GT31" s="31"/>
      <c r="GU31" s="34"/>
      <c r="GV31" s="31"/>
      <c r="GW31" s="34"/>
      <c r="GX31" s="31"/>
      <c r="GY31" s="34"/>
      <c r="GZ31" s="31"/>
      <c r="HA31" s="34" t="s">
        <v>582</v>
      </c>
      <c r="HB31" s="31"/>
      <c r="HC31" s="34" t="s">
        <v>129</v>
      </c>
      <c r="HD31" s="30" t="s">
        <v>102</v>
      </c>
      <c r="HE31" s="34" t="s">
        <v>901</v>
      </c>
      <c r="HF31" s="31"/>
      <c r="HG31" s="34"/>
      <c r="HH31" s="31"/>
      <c r="HI31" s="34"/>
      <c r="HJ31" s="31"/>
      <c r="HK31" s="34"/>
      <c r="HL31" s="31" t="s">
        <v>444</v>
      </c>
      <c r="HM31" s="34" t="s">
        <v>887</v>
      </c>
      <c r="HN31" s="31"/>
      <c r="HO31" s="34" t="s">
        <v>523</v>
      </c>
      <c r="HP31" s="31"/>
      <c r="HQ31" s="34"/>
      <c r="HR31" s="31"/>
      <c r="HS31" s="34" t="s">
        <v>195</v>
      </c>
      <c r="HT31" s="31"/>
      <c r="HU31" s="34"/>
      <c r="HV31" s="31" t="s">
        <v>370</v>
      </c>
      <c r="HW31" s="34"/>
      <c r="HX31" s="39" t="s">
        <v>163</v>
      </c>
      <c r="HY31" s="39" t="s">
        <v>877</v>
      </c>
      <c r="HZ31" s="31"/>
      <c r="IA31" s="34"/>
      <c r="IB31" s="31" t="s">
        <v>952</v>
      </c>
      <c r="IC31" s="34" t="s">
        <v>856</v>
      </c>
      <c r="ID31" s="31"/>
      <c r="IE31" s="34"/>
      <c r="IF31" s="31"/>
      <c r="IG31" s="34"/>
      <c r="IH31" s="31"/>
      <c r="II31" s="34" t="s">
        <v>870</v>
      </c>
      <c r="IJ31" s="31" t="s">
        <v>460</v>
      </c>
      <c r="IK31" s="34"/>
      <c r="IL31" s="31"/>
      <c r="IM31" s="34" t="s">
        <v>175</v>
      </c>
      <c r="IN31" s="31"/>
      <c r="IO31" s="34" t="s">
        <v>230</v>
      </c>
      <c r="IP31" s="31" t="s">
        <v>45</v>
      </c>
      <c r="IQ31" s="34" t="s">
        <v>301</v>
      </c>
      <c r="IR31" s="31"/>
      <c r="IS31" s="34"/>
      <c r="IT31" s="31"/>
      <c r="IU31" s="34"/>
      <c r="IV31" s="31"/>
      <c r="IW31" s="34"/>
      <c r="IX31" s="31" t="s">
        <v>344</v>
      </c>
      <c r="IY31" s="34" t="s">
        <v>902</v>
      </c>
      <c r="IZ31" s="31"/>
      <c r="JA31" s="34" t="s">
        <v>871</v>
      </c>
      <c r="JB31" s="36"/>
    </row>
    <row r="32" spans="1:262" ht="30" customHeight="1" x14ac:dyDescent="0.25">
      <c r="A32" s="26" t="s">
        <v>1261</v>
      </c>
      <c r="B32" s="48" t="str">
        <f t="shared" si="0"/>
        <v>1st Choice Development
ACR Solar
Alpha Energy Management, Inc.
Ambrose Construction Inc
Apollo Home Performance
Aztec Solar Inc.
Bright Power
Byers
California Solar Electric Cooperative
California Solar Integrators, Inc.
California State Development
Capital City Solar
Centrica Business Solutions
Chico Electric
Citadel Roofing &amp; Solar
Climatec
CMCO Electric &amp; Solar
Communication Infrastructure Corporation (CIC)
DC Solar Electric, Inc
Economic Energy Solutions
EDF Renewables Distributed Solutions
Enable Energy, Inc.
Enel X North America
Energy Independence Group
Engie Services US
ForeFront Power
Freevolt
Future Energy Corporation
Gold Rush Energy Solutions
Green Water and Power
GRID Alternatives
GS Homes
Horizon Solar Power
Huffman Solar
I Love My Solar
Ilum Solar
Infinity Energy Inc
Klein Power Electric
Kuubix Energy, Inc.
LA Solar Group
Laibach Solar
LLUMETEC
Mack Electric/Gardner Energy
Modernize Construction
North State Solar Energy Construction
NRG Clean Power
Pacific Rim ConstructioRAM SOLAR
Promise Energy Inc
REC Solar
Sage Energy Consulting
Sarter Construction &amp; Design, Inc / Off the Grid Design / Sol Lux Alpha
Semper Solaris
Sierra Energy Savers
Sierra Pacific
SIG Solar
Simmitri, Inc
Solar Gain West LLC
Solar Pros Inc.
Solar Savings Direct
SolarNorcal, LLC
Spreck Energy
Stem, Inc.
Stronghold Engineering
Sun Power by Ambrose
Sun River Solar
Sunnova Energy
SunPower by Hooked On Solar
SunPower Corporation
SunStor
Sunstreet
Sunterra Solar Inc
Sunworks
Sustainable Energy Group
Sustainable Technologies
Swell Energy
Trinity Power
V3 Electric Inc
West Coast Solar
Westhaven Inc.
Your Energy Source (YES)</v>
      </c>
      <c r="C32" s="29" t="s">
        <v>857</v>
      </c>
      <c r="D32" s="31"/>
      <c r="E32" s="34"/>
      <c r="F32" s="31"/>
      <c r="G32" s="34" t="s">
        <v>866</v>
      </c>
      <c r="H32" s="31"/>
      <c r="I32" s="34"/>
      <c r="J32" s="31"/>
      <c r="K32" s="34"/>
      <c r="L32" s="31"/>
      <c r="M32" s="34"/>
      <c r="N32" s="30" t="s">
        <v>1295</v>
      </c>
      <c r="O32" s="34"/>
      <c r="P32" s="31"/>
      <c r="Q32" s="34"/>
      <c r="R32" s="31"/>
      <c r="S32" s="34" t="s">
        <v>87</v>
      </c>
      <c r="T32" s="31"/>
      <c r="U32" s="34" t="s">
        <v>915</v>
      </c>
      <c r="V32" s="31"/>
      <c r="W32" s="34"/>
      <c r="X32" s="31" t="s">
        <v>401</v>
      </c>
      <c r="Y32" s="34"/>
      <c r="Z32" s="31"/>
      <c r="AA32" s="34"/>
      <c r="AB32" s="31"/>
      <c r="AC32" s="34"/>
      <c r="AD32" s="31"/>
      <c r="AE32" s="34"/>
      <c r="AF32" s="31"/>
      <c r="AG32" s="34"/>
      <c r="AH32" s="31"/>
      <c r="AI32" s="34" t="s">
        <v>202</v>
      </c>
      <c r="AJ32" s="31"/>
      <c r="AK32" s="34" t="s">
        <v>882</v>
      </c>
      <c r="AL32" s="31"/>
      <c r="AM32" s="34"/>
      <c r="AN32" s="31" t="s">
        <v>505</v>
      </c>
      <c r="AO32" s="34" t="s">
        <v>497</v>
      </c>
      <c r="AP32" s="31" t="s">
        <v>1231</v>
      </c>
      <c r="AQ32" s="34"/>
      <c r="AR32" s="31" t="s">
        <v>923</v>
      </c>
      <c r="AS32" s="34" t="s">
        <v>60</v>
      </c>
      <c r="AT32" s="31" t="s">
        <v>205</v>
      </c>
      <c r="AU32" s="34"/>
      <c r="AV32" s="31" t="s">
        <v>199</v>
      </c>
      <c r="AW32" s="34"/>
      <c r="AX32" s="31"/>
      <c r="AY32" s="34"/>
      <c r="AZ32" s="31"/>
      <c r="BA32" s="34" t="s">
        <v>351</v>
      </c>
      <c r="BB32" s="31"/>
      <c r="BC32" s="34" t="s">
        <v>142</v>
      </c>
      <c r="BD32" s="31"/>
      <c r="BE32" s="34" t="s">
        <v>1215</v>
      </c>
      <c r="BF32" s="31"/>
      <c r="BG32" s="34"/>
      <c r="BH32" s="31"/>
      <c r="BI32" s="34"/>
      <c r="BJ32" s="31" t="s">
        <v>321</v>
      </c>
      <c r="BK32" s="34"/>
      <c r="BL32" s="31"/>
      <c r="BM32" s="34"/>
      <c r="BN32" s="31"/>
      <c r="BO32" s="34" t="s">
        <v>914</v>
      </c>
      <c r="BP32" s="31"/>
      <c r="BQ32" s="34" t="s">
        <v>391</v>
      </c>
      <c r="BR32" s="31"/>
      <c r="BS32" s="34"/>
      <c r="BT32" s="31"/>
      <c r="BU32" s="34"/>
      <c r="BV32" s="31" t="s">
        <v>330</v>
      </c>
      <c r="BW32" s="34" t="s">
        <v>532</v>
      </c>
      <c r="BX32" s="31" t="s">
        <v>280</v>
      </c>
      <c r="BY32" s="34"/>
      <c r="BZ32" s="31"/>
      <c r="CA32" s="34" t="s">
        <v>853</v>
      </c>
      <c r="CB32" s="31"/>
      <c r="CC32" s="34"/>
      <c r="CD32" s="31"/>
      <c r="CE32" s="34" t="s">
        <v>275</v>
      </c>
      <c r="CF32" s="31" t="s">
        <v>253</v>
      </c>
      <c r="CG32" s="34"/>
      <c r="CH32" s="31"/>
      <c r="CI32" s="34"/>
      <c r="CJ32" s="31" t="s">
        <v>323</v>
      </c>
      <c r="CK32" s="34"/>
      <c r="CL32" s="31"/>
      <c r="CM32" s="34"/>
      <c r="CN32" s="31" t="s">
        <v>487</v>
      </c>
      <c r="CO32" s="34"/>
      <c r="CP32" s="31"/>
      <c r="CQ32" s="34"/>
      <c r="CR32" s="31"/>
      <c r="CS32" s="34" t="s">
        <v>892</v>
      </c>
      <c r="CT32" s="31"/>
      <c r="CU32" s="34" t="s">
        <v>99</v>
      </c>
      <c r="CV32" s="31" t="s">
        <v>852</v>
      </c>
      <c r="CW32" s="34"/>
      <c r="CX32" s="31"/>
      <c r="CY32" s="34"/>
      <c r="CZ32" s="31"/>
      <c r="DA32" s="34"/>
      <c r="DB32" s="31"/>
      <c r="DC32" s="34"/>
      <c r="DD32" s="31"/>
      <c r="DE32" s="34" t="s">
        <v>134</v>
      </c>
      <c r="DF32" s="31"/>
      <c r="DG32" s="34"/>
      <c r="DH32" s="31" t="s">
        <v>220</v>
      </c>
      <c r="DI32" s="34" t="s">
        <v>858</v>
      </c>
      <c r="DJ32" s="31" t="s">
        <v>272</v>
      </c>
      <c r="DK32" s="34"/>
      <c r="DL32" s="31" t="s">
        <v>428</v>
      </c>
      <c r="DM32" s="34"/>
      <c r="DN32" s="31"/>
      <c r="DO32" s="34"/>
      <c r="DP32" s="31"/>
      <c r="DQ32" s="34"/>
      <c r="DR32" s="31"/>
      <c r="DS32" s="34"/>
      <c r="DT32" s="31" t="s">
        <v>41</v>
      </c>
      <c r="DU32" s="34"/>
      <c r="DV32" s="31" t="s">
        <v>109</v>
      </c>
      <c r="DW32" s="34" t="s">
        <v>895</v>
      </c>
      <c r="DX32" s="31" t="s">
        <v>932</v>
      </c>
      <c r="DY32" s="34"/>
      <c r="DZ32" s="31"/>
      <c r="EA32" s="34" t="s">
        <v>595</v>
      </c>
      <c r="EB32" s="31"/>
      <c r="EC32" s="34"/>
      <c r="ED32" s="31"/>
      <c r="EE32" s="34" t="s">
        <v>83</v>
      </c>
      <c r="EF32" s="31"/>
      <c r="EG32" s="34"/>
      <c r="EH32" s="31"/>
      <c r="EI32" s="34"/>
      <c r="EJ32" s="31" t="s">
        <v>136</v>
      </c>
      <c r="EK32" s="34"/>
      <c r="EL32" s="31"/>
      <c r="EM32" s="34"/>
      <c r="EN32" s="31"/>
      <c r="EO32" s="34"/>
      <c r="EP32" s="31"/>
      <c r="EQ32" s="34" t="s">
        <v>363</v>
      </c>
      <c r="ER32" s="31"/>
      <c r="ES32" s="34" t="s">
        <v>935</v>
      </c>
      <c r="ET32" s="31"/>
      <c r="EU32" s="34"/>
      <c r="EV32" s="31"/>
      <c r="EW32" s="34" t="s">
        <v>983</v>
      </c>
      <c r="EX32" s="31"/>
      <c r="EY32" s="34"/>
      <c r="EZ32" s="31"/>
      <c r="FA32" s="34"/>
      <c r="FB32" s="31"/>
      <c r="FC32" s="34"/>
      <c r="FD32" s="31" t="s">
        <v>484</v>
      </c>
      <c r="FE32" s="34"/>
      <c r="FF32" s="31"/>
      <c r="FG32" s="34"/>
      <c r="FH32" s="31"/>
      <c r="FI32" s="34" t="s">
        <v>354</v>
      </c>
      <c r="FJ32" s="31"/>
      <c r="FK32" s="34"/>
      <c r="FL32" s="31"/>
      <c r="FM32" s="34"/>
      <c r="FN32" s="31" t="s">
        <v>465</v>
      </c>
      <c r="FO32" s="34"/>
      <c r="FP32" s="31"/>
      <c r="FQ32" s="34" t="s">
        <v>171</v>
      </c>
      <c r="FR32" s="31"/>
      <c r="FS32" s="39"/>
      <c r="FT32" s="39"/>
      <c r="FU32" s="34" t="s">
        <v>630</v>
      </c>
      <c r="FV32" s="31" t="s">
        <v>139</v>
      </c>
      <c r="FW32" s="34" t="s">
        <v>886</v>
      </c>
      <c r="FX32" s="31" t="s">
        <v>934</v>
      </c>
      <c r="FY32" s="34" t="s">
        <v>562</v>
      </c>
      <c r="FZ32" s="31"/>
      <c r="GA32" s="34"/>
      <c r="GB32" s="31"/>
      <c r="GC32" s="34"/>
      <c r="GD32" s="31"/>
      <c r="GE32" s="34"/>
      <c r="GF32" s="31"/>
      <c r="GG32" s="34"/>
      <c r="GH32" s="31"/>
      <c r="GI32" s="34" t="s">
        <v>454</v>
      </c>
      <c r="GJ32" s="31"/>
      <c r="GK32" s="34"/>
      <c r="GL32" s="31"/>
      <c r="GM32" s="34" t="s">
        <v>501</v>
      </c>
      <c r="GN32" s="31"/>
      <c r="GO32" s="34" t="s">
        <v>96</v>
      </c>
      <c r="GP32" s="31"/>
      <c r="GQ32" s="34"/>
      <c r="GR32" s="31"/>
      <c r="GS32" s="34"/>
      <c r="GT32" s="31"/>
      <c r="GU32" s="34" t="s">
        <v>160</v>
      </c>
      <c r="GV32" s="31"/>
      <c r="GW32" s="34"/>
      <c r="GX32" s="31"/>
      <c r="GY32" s="34"/>
      <c r="GZ32" s="31" t="s">
        <v>894</v>
      </c>
      <c r="HA32" s="34"/>
      <c r="HB32" s="31"/>
      <c r="HC32" s="34"/>
      <c r="HD32" s="30" t="s">
        <v>102</v>
      </c>
      <c r="HE32" s="34" t="s">
        <v>901</v>
      </c>
      <c r="HF32" s="31"/>
      <c r="HG32" s="34" t="s">
        <v>925</v>
      </c>
      <c r="HH32" s="31" t="s">
        <v>297</v>
      </c>
      <c r="HI32" s="34"/>
      <c r="HJ32" s="31"/>
      <c r="HK32" s="34"/>
      <c r="HL32" s="31"/>
      <c r="HM32" s="34"/>
      <c r="HN32" s="31"/>
      <c r="HO32" s="34" t="s">
        <v>523</v>
      </c>
      <c r="HP32" s="31"/>
      <c r="HQ32" s="34" t="s">
        <v>1303</v>
      </c>
      <c r="HR32" s="31"/>
      <c r="HS32" s="34" t="s">
        <v>195</v>
      </c>
      <c r="HT32" s="31"/>
      <c r="HU32" s="34" t="s">
        <v>183</v>
      </c>
      <c r="HV32" s="31" t="s">
        <v>370</v>
      </c>
      <c r="HW32" s="34"/>
      <c r="HX32" s="39" t="s">
        <v>163</v>
      </c>
      <c r="HY32" s="39" t="s">
        <v>877</v>
      </c>
      <c r="HZ32" s="31" t="s">
        <v>49</v>
      </c>
      <c r="IA32" s="34" t="s">
        <v>544</v>
      </c>
      <c r="IB32" s="31"/>
      <c r="IC32" s="34" t="s">
        <v>856</v>
      </c>
      <c r="ID32" s="31"/>
      <c r="IE32" s="34"/>
      <c r="IF32" s="31"/>
      <c r="IG32" s="34"/>
      <c r="IH32" s="31"/>
      <c r="II32" s="34"/>
      <c r="IJ32" s="31"/>
      <c r="IK32" s="34" t="s">
        <v>937</v>
      </c>
      <c r="IL32" s="31"/>
      <c r="IM32" s="34" t="s">
        <v>175</v>
      </c>
      <c r="IN32" s="31"/>
      <c r="IO32" s="34"/>
      <c r="IP32" s="31"/>
      <c r="IQ32" s="34"/>
      <c r="IR32" s="31"/>
      <c r="IS32" s="34"/>
      <c r="IT32" s="31" t="s">
        <v>855</v>
      </c>
      <c r="IU32" s="34"/>
      <c r="IV32" s="31" t="s">
        <v>315</v>
      </c>
      <c r="IW32" s="34"/>
      <c r="IX32" s="31"/>
      <c r="IY32" s="34"/>
      <c r="IZ32" s="31"/>
      <c r="JA32" s="34" t="s">
        <v>871</v>
      </c>
      <c r="JB32" s="36"/>
    </row>
    <row r="33" spans="1:262" ht="30" customHeight="1" x14ac:dyDescent="0.25">
      <c r="A33" s="27" t="s">
        <v>1262</v>
      </c>
      <c r="B33" s="48" t="str">
        <f t="shared" si="0"/>
        <v>1st Choice Development
Alpha Energy Management, Inc.
Apollo Home Performance
Aztec Solar Inc.
Bright Power
California Solar Electric Cooperative
California Solar Integrators, Inc.
California State Development
Capital City Solar
Centrica Business Solutions
Chico Electric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Ilum Solar
Infinity Energy Inc
Kuubix Energy, Inc.
LA Solar Group
Laibach Solar
LLUMETEC
Mack Electric/Gardner Energy
North State Solar Energy Construction
NRG Clean Power
Pacific Rim ConstructioRAM SOLAR
Promise Energy Inc
REC Solar
Sage Energy Consulting
Sarter Construction &amp; Design, Inc / Off the Grid Design / Sol Lux Alpha
Solar Gain West LLC
Solar Pros Inc.
Solar Savings Direct
Stem, Inc.
Stronghold Engineering
Sunnova Energy
SunPower by Hooked On Solar
SunPower Corporation
SunStor
Sunterra Solar Inc
Sunworks
Swell Energy
V3 Electric Inc
Vivint Solar
West Coast Solar
Westhaven Inc.</v>
      </c>
      <c r="C33" s="29" t="s">
        <v>857</v>
      </c>
      <c r="D33" s="31"/>
      <c r="E33" s="34"/>
      <c r="F33" s="31"/>
      <c r="G33" s="34"/>
      <c r="H33" s="31"/>
      <c r="I33" s="34"/>
      <c r="J33" s="31"/>
      <c r="K33" s="34"/>
      <c r="L33" s="31"/>
      <c r="M33" s="34"/>
      <c r="N33" s="30" t="s">
        <v>1295</v>
      </c>
      <c r="O33" s="34"/>
      <c r="P33" s="31"/>
      <c r="Q33" s="34"/>
      <c r="R33" s="31"/>
      <c r="S33" s="34"/>
      <c r="T33" s="31"/>
      <c r="U33" s="34" t="s">
        <v>915</v>
      </c>
      <c r="V33" s="31"/>
      <c r="W33" s="34"/>
      <c r="X33" s="31" t="s">
        <v>401</v>
      </c>
      <c r="Y33" s="34"/>
      <c r="Z33" s="31"/>
      <c r="AA33" s="34"/>
      <c r="AB33" s="31"/>
      <c r="AC33" s="34"/>
      <c r="AD33" s="31"/>
      <c r="AE33" s="34"/>
      <c r="AF33" s="31"/>
      <c r="AG33" s="34"/>
      <c r="AH33" s="31"/>
      <c r="AI33" s="34" t="s">
        <v>202</v>
      </c>
      <c r="AJ33" s="31"/>
      <c r="AK33" s="34"/>
      <c r="AL33" s="31"/>
      <c r="AM33" s="34"/>
      <c r="AN33" s="31" t="s">
        <v>505</v>
      </c>
      <c r="AO33" s="34" t="s">
        <v>497</v>
      </c>
      <c r="AP33" s="31" t="s">
        <v>1231</v>
      </c>
      <c r="AQ33" s="34"/>
      <c r="AR33" s="31" t="s">
        <v>923</v>
      </c>
      <c r="AS33" s="34" t="s">
        <v>60</v>
      </c>
      <c r="AT33" s="31" t="s">
        <v>205</v>
      </c>
      <c r="AU33" s="34"/>
      <c r="AV33" s="31"/>
      <c r="AW33" s="34"/>
      <c r="AX33" s="31"/>
      <c r="AY33" s="34"/>
      <c r="AZ33" s="31"/>
      <c r="BA33" s="34" t="s">
        <v>351</v>
      </c>
      <c r="BB33" s="31"/>
      <c r="BC33" s="34"/>
      <c r="BD33" s="31"/>
      <c r="BE33" s="34" t="s">
        <v>1215</v>
      </c>
      <c r="BF33" s="31"/>
      <c r="BG33" s="34"/>
      <c r="BH33" s="31"/>
      <c r="BI33" s="34"/>
      <c r="BJ33" s="31" t="s">
        <v>321</v>
      </c>
      <c r="BK33" s="34"/>
      <c r="BL33" s="31"/>
      <c r="BM33" s="34"/>
      <c r="BN33" s="31"/>
      <c r="BO33" s="34"/>
      <c r="BP33" s="31"/>
      <c r="BQ33" s="34" t="s">
        <v>391</v>
      </c>
      <c r="BR33" s="31"/>
      <c r="BS33" s="34"/>
      <c r="BT33" s="31"/>
      <c r="BU33" s="34"/>
      <c r="BV33" s="31" t="s">
        <v>330</v>
      </c>
      <c r="BW33" s="34" t="s">
        <v>532</v>
      </c>
      <c r="BX33" s="31" t="s">
        <v>280</v>
      </c>
      <c r="BY33" s="34"/>
      <c r="BZ33" s="31"/>
      <c r="CA33" s="34" t="s">
        <v>853</v>
      </c>
      <c r="CB33" s="31"/>
      <c r="CC33" s="34"/>
      <c r="CD33" s="31"/>
      <c r="CE33" s="34" t="s">
        <v>275</v>
      </c>
      <c r="CF33" s="31"/>
      <c r="CG33" s="34"/>
      <c r="CH33" s="31"/>
      <c r="CI33" s="34"/>
      <c r="CJ33" s="31"/>
      <c r="CK33" s="34"/>
      <c r="CL33" s="31"/>
      <c r="CM33" s="34"/>
      <c r="CN33" s="31" t="s">
        <v>487</v>
      </c>
      <c r="CO33" s="34"/>
      <c r="CP33" s="31"/>
      <c r="CQ33" s="34"/>
      <c r="CR33" s="31"/>
      <c r="CS33" s="34" t="s">
        <v>892</v>
      </c>
      <c r="CT33" s="31"/>
      <c r="CU33" s="34" t="s">
        <v>99</v>
      </c>
      <c r="CV33" s="31" t="s">
        <v>852</v>
      </c>
      <c r="CW33" s="34"/>
      <c r="CX33" s="31"/>
      <c r="CY33" s="34"/>
      <c r="CZ33" s="31"/>
      <c r="DA33" s="34"/>
      <c r="DB33" s="31"/>
      <c r="DC33" s="34"/>
      <c r="DD33" s="31"/>
      <c r="DE33" s="34"/>
      <c r="DF33" s="31"/>
      <c r="DG33" s="34"/>
      <c r="DH33" s="31"/>
      <c r="DI33" s="34"/>
      <c r="DJ33" s="31" t="s">
        <v>272</v>
      </c>
      <c r="DK33" s="34"/>
      <c r="DL33" s="31" t="s">
        <v>428</v>
      </c>
      <c r="DM33" s="34"/>
      <c r="DN33" s="31"/>
      <c r="DO33" s="34"/>
      <c r="DP33" s="31"/>
      <c r="DQ33" s="34"/>
      <c r="DR33" s="31"/>
      <c r="DS33" s="34"/>
      <c r="DT33" s="31"/>
      <c r="DU33" s="34"/>
      <c r="DV33" s="31" t="s">
        <v>109</v>
      </c>
      <c r="DW33" s="34" t="s">
        <v>895</v>
      </c>
      <c r="DX33" s="31" t="s">
        <v>932</v>
      </c>
      <c r="DY33" s="34"/>
      <c r="DZ33" s="31"/>
      <c r="EA33" s="34" t="s">
        <v>595</v>
      </c>
      <c r="EB33" s="31"/>
      <c r="EC33" s="34"/>
      <c r="ED33" s="31"/>
      <c r="EE33" s="34" t="s">
        <v>83</v>
      </c>
      <c r="EF33" s="31"/>
      <c r="EG33" s="34"/>
      <c r="EH33" s="31"/>
      <c r="EI33" s="34"/>
      <c r="EJ33" s="31"/>
      <c r="EK33" s="34"/>
      <c r="EL33" s="31"/>
      <c r="EM33" s="34"/>
      <c r="EN33" s="31"/>
      <c r="EO33" s="34"/>
      <c r="EP33" s="31"/>
      <c r="EQ33" s="34" t="s">
        <v>363</v>
      </c>
      <c r="ER33" s="31"/>
      <c r="ES33" s="34" t="s">
        <v>935</v>
      </c>
      <c r="ET33" s="31"/>
      <c r="EU33" s="34"/>
      <c r="EV33" s="31"/>
      <c r="EW33" s="34" t="s">
        <v>983</v>
      </c>
      <c r="EX33" s="31"/>
      <c r="EY33" s="34"/>
      <c r="EZ33" s="31"/>
      <c r="FA33" s="34"/>
      <c r="FB33" s="31"/>
      <c r="FC33" s="34"/>
      <c r="FD33" s="31" t="s">
        <v>484</v>
      </c>
      <c r="FE33" s="34"/>
      <c r="FF33" s="31"/>
      <c r="FG33" s="34"/>
      <c r="FH33" s="31"/>
      <c r="FI33" s="34" t="s">
        <v>354</v>
      </c>
      <c r="FJ33" s="31"/>
      <c r="FK33" s="34"/>
      <c r="FL33" s="31"/>
      <c r="FM33" s="34"/>
      <c r="FN33" s="31" t="s">
        <v>465</v>
      </c>
      <c r="FO33" s="34"/>
      <c r="FP33" s="31"/>
      <c r="FQ33" s="34" t="s">
        <v>171</v>
      </c>
      <c r="FR33" s="31"/>
      <c r="FS33" s="39"/>
      <c r="FT33" s="39"/>
      <c r="FU33" s="34"/>
      <c r="FV33" s="31"/>
      <c r="FW33" s="34"/>
      <c r="FX33" s="31"/>
      <c r="FY33" s="34"/>
      <c r="FZ33" s="31"/>
      <c r="GA33" s="34"/>
      <c r="GB33" s="31"/>
      <c r="GC33" s="34"/>
      <c r="GD33" s="31"/>
      <c r="GE33" s="34"/>
      <c r="GF33" s="31"/>
      <c r="GG33" s="34"/>
      <c r="GH33" s="31"/>
      <c r="GI33" s="34" t="s">
        <v>454</v>
      </c>
      <c r="GJ33" s="31"/>
      <c r="GK33" s="34"/>
      <c r="GL33" s="31"/>
      <c r="GM33" s="34" t="s">
        <v>501</v>
      </c>
      <c r="GN33" s="31"/>
      <c r="GO33" s="34" t="s">
        <v>96</v>
      </c>
      <c r="GP33" s="31"/>
      <c r="GQ33" s="34"/>
      <c r="GR33" s="31"/>
      <c r="GS33" s="34"/>
      <c r="GT33" s="31"/>
      <c r="GU33" s="34"/>
      <c r="GV33" s="31"/>
      <c r="GW33" s="34"/>
      <c r="GX33" s="31"/>
      <c r="GY33" s="34"/>
      <c r="GZ33" s="31"/>
      <c r="HA33" s="34"/>
      <c r="HB33" s="31"/>
      <c r="HC33" s="34"/>
      <c r="HD33" s="30" t="s">
        <v>102</v>
      </c>
      <c r="HE33" s="34" t="s">
        <v>901</v>
      </c>
      <c r="HF33" s="31"/>
      <c r="HG33" s="34"/>
      <c r="HH33" s="31"/>
      <c r="HI33" s="34"/>
      <c r="HJ33" s="31"/>
      <c r="HK33" s="34"/>
      <c r="HL33" s="31"/>
      <c r="HM33" s="34"/>
      <c r="HN33" s="31"/>
      <c r="HO33" s="34" t="s">
        <v>523</v>
      </c>
      <c r="HP33" s="31"/>
      <c r="HQ33" s="34" t="s">
        <v>1303</v>
      </c>
      <c r="HR33" s="31"/>
      <c r="HS33" s="34" t="s">
        <v>195</v>
      </c>
      <c r="HT33" s="31"/>
      <c r="HU33" s="34" t="s">
        <v>183</v>
      </c>
      <c r="HV33" s="31"/>
      <c r="HW33" s="34"/>
      <c r="HX33" s="39" t="s">
        <v>163</v>
      </c>
      <c r="HY33" s="39" t="s">
        <v>877</v>
      </c>
      <c r="HZ33" s="31"/>
      <c r="IA33" s="34"/>
      <c r="IB33" s="31"/>
      <c r="IC33" s="34" t="s">
        <v>856</v>
      </c>
      <c r="ID33" s="31"/>
      <c r="IE33" s="34"/>
      <c r="IF33" s="31"/>
      <c r="IG33" s="34"/>
      <c r="IH33" s="31"/>
      <c r="II33" s="34"/>
      <c r="IJ33" s="31"/>
      <c r="IK33" s="34"/>
      <c r="IL33" s="31"/>
      <c r="IM33" s="34" t="s">
        <v>175</v>
      </c>
      <c r="IN33" s="31"/>
      <c r="IO33" s="34"/>
      <c r="IP33" s="31" t="s">
        <v>45</v>
      </c>
      <c r="IQ33" s="34"/>
      <c r="IR33" s="31"/>
      <c r="IS33" s="34"/>
      <c r="IT33" s="31" t="s">
        <v>855</v>
      </c>
      <c r="IU33" s="34"/>
      <c r="IV33" s="31" t="s">
        <v>315</v>
      </c>
      <c r="IW33" s="34"/>
      <c r="IX33" s="31"/>
      <c r="IY33" s="34"/>
      <c r="IZ33" s="31"/>
      <c r="JA33" s="34"/>
      <c r="JB33" s="36"/>
    </row>
    <row r="34" spans="1:262" ht="30" customHeight="1" x14ac:dyDescent="0.25">
      <c r="A34" s="26" t="s">
        <v>1263</v>
      </c>
      <c r="B34" s="48" t="str">
        <f t="shared" ref="B34:B59" si="1">_xlfn.TEXTJOIN(CHAR(10),TRUE,C34:JB34)</f>
        <v>1st Choice Development
3fficient
Aeterna Energy
Alpha Energy Management, Inc.
Altadena Energy and Solar
Altair Solar Inc
Ameresco Solar
Apollo Home Performance
Baker Electric
Baker Electric Home Energy
Belmont Energy
Blalock Electric &amp; Solar Inc.
Bright Life Solar
Bright Power
California Solar Integrators, Inc.
California State Development
Centrica Business Solutions
Citadel Roofing &amp; Solar
Climatec
Cosmic Solar
DC Solar Electric, Inc
EcoSolar USA
EDF Renewables Distributed Solutions
Effect Energy, Inc
Electro Thermal
Enel X North America
Energy Independence Group
Energy Innovative Solutions LLC
Engie Services US
ForeFront Power
Freevolt
FreeVolt USA INC
Future Energy Corporation
Go Green Solar
Gold Rush Energy Solutions
Golden State Power
Green Water and Power
GRID Alternatives
GS Homes
Guasti Solar
Harrison Electric and Solar
HES Solar
Home Grown Energy Solutions
Horizon Solar Power
Hot Purple Energy
Ilum Solar
Incentive Electric
Infinity Energy Inc
Keith Smith and Son Inc.
Kota Construction
Kuubix Energy, Inc.
LA Solar Group
LLUMETEC
Mack Electric/Gardner Energy
NB Baker LTD (Baker Electric Home Energy)
New Day Solar
NGR Upgrade
NRG Clean Power
Option One Solar
Pacific Sun Technologies
PacificWest Energy Solutions, Inc.
Palomar Solar and Roofing
Plug It In Solar
Promise Energy Inc
REC Solar
Renova Energy Corp
Revel Energy
Sage Energy Consulting
Sattler Solar Inc.
Semper Solaris
Simply Solar
Skelly Electric
SKR Solar
Solar Gain West LLC
Solar Gem
Solar Optimum Inc
Solar Pros Inc.
Solar Symphony Construction Inc
Solargraham
Stada Energy
Stellar Solar
Stem, Inc.
Stronghold Engineering
Sunce Energy Solutions, Inc.
SunGreen Systems
Sunistics Group
Sunnova Energy
SunPower Corporation
Sunstreet
Sunterra Solar Inc
Sunworks
Sustineo
Swell Energy
Synergistic Energy Services, Inc.
Tree Public
Treeium Energy
Trinity Power
V3 Electric Inc
Vector Green Power and Materials LLC
Vivint Solar
Voltage River
Xero Solar
Xnergy
Your Energy Source (YES)</v>
      </c>
      <c r="C34" s="29" t="s">
        <v>857</v>
      </c>
      <c r="D34" s="30" t="s">
        <v>863</v>
      </c>
      <c r="E34" s="34"/>
      <c r="F34" s="31"/>
      <c r="G34" s="34"/>
      <c r="H34" s="31"/>
      <c r="I34" s="34" t="s">
        <v>1233</v>
      </c>
      <c r="J34" s="31"/>
      <c r="K34" s="34"/>
      <c r="L34" s="31"/>
      <c r="M34" s="34"/>
      <c r="N34" s="30" t="s">
        <v>1295</v>
      </c>
      <c r="O34" s="34" t="s">
        <v>941</v>
      </c>
      <c r="P34" s="31" t="s">
        <v>122</v>
      </c>
      <c r="Q34" s="34"/>
      <c r="R34" s="31"/>
      <c r="S34" s="34"/>
      <c r="T34" s="31" t="s">
        <v>427</v>
      </c>
      <c r="U34" s="34" t="s">
        <v>915</v>
      </c>
      <c r="V34" s="31"/>
      <c r="W34" s="34"/>
      <c r="X34" s="31"/>
      <c r="Y34" s="34"/>
      <c r="Z34" s="31" t="s">
        <v>883</v>
      </c>
      <c r="AA34" s="34" t="s">
        <v>360</v>
      </c>
      <c r="AB34" s="31" t="s">
        <v>942</v>
      </c>
      <c r="AC34" s="34"/>
      <c r="AD34" s="31" t="s">
        <v>553</v>
      </c>
      <c r="AE34" s="34"/>
      <c r="AF34" s="31"/>
      <c r="AG34" s="34"/>
      <c r="AH34" s="31" t="s">
        <v>549</v>
      </c>
      <c r="AI34" s="34" t="s">
        <v>202</v>
      </c>
      <c r="AJ34" s="31"/>
      <c r="AK34" s="34"/>
      <c r="AL34" s="31"/>
      <c r="AM34" s="34"/>
      <c r="AN34" s="31"/>
      <c r="AO34" s="34" t="s">
        <v>497</v>
      </c>
      <c r="AP34" s="31" t="s">
        <v>1231</v>
      </c>
      <c r="AQ34" s="34"/>
      <c r="AR34" s="31"/>
      <c r="AS34" s="34" t="s">
        <v>60</v>
      </c>
      <c r="AT34" s="31"/>
      <c r="AU34" s="34"/>
      <c r="AV34" s="31" t="s">
        <v>199</v>
      </c>
      <c r="AW34" s="34"/>
      <c r="AX34" s="31"/>
      <c r="AY34" s="34"/>
      <c r="AZ34" s="31"/>
      <c r="BA34" s="34" t="s">
        <v>351</v>
      </c>
      <c r="BB34" s="31"/>
      <c r="BC34" s="34"/>
      <c r="BD34" s="31"/>
      <c r="BE34" s="34"/>
      <c r="BF34" s="31"/>
      <c r="BG34" s="34"/>
      <c r="BH34" s="31" t="s">
        <v>850</v>
      </c>
      <c r="BI34" s="34"/>
      <c r="BJ34" s="31" t="s">
        <v>321</v>
      </c>
      <c r="BK34" s="34"/>
      <c r="BL34" s="31"/>
      <c r="BM34" s="34"/>
      <c r="BN34" s="31"/>
      <c r="BO34" s="34"/>
      <c r="BP34" s="31" t="s">
        <v>917</v>
      </c>
      <c r="BQ34" s="34" t="s">
        <v>391</v>
      </c>
      <c r="BR34" s="31" t="s">
        <v>190</v>
      </c>
      <c r="BS34" s="34" t="s">
        <v>872</v>
      </c>
      <c r="BT34" s="31"/>
      <c r="BU34" s="34"/>
      <c r="BV34" s="31"/>
      <c r="BW34" s="34" t="s">
        <v>532</v>
      </c>
      <c r="BX34" s="31" t="s">
        <v>280</v>
      </c>
      <c r="BY34" s="34" t="s">
        <v>211</v>
      </c>
      <c r="BZ34" s="31"/>
      <c r="CA34" s="34" t="s">
        <v>853</v>
      </c>
      <c r="CB34" s="31"/>
      <c r="CC34" s="34"/>
      <c r="CD34" s="31"/>
      <c r="CE34" s="34" t="s">
        <v>275</v>
      </c>
      <c r="CF34" s="31" t="s">
        <v>253</v>
      </c>
      <c r="CG34" s="34" t="s">
        <v>327</v>
      </c>
      <c r="CH34" s="31"/>
      <c r="CI34" s="34"/>
      <c r="CJ34" s="31" t="s">
        <v>323</v>
      </c>
      <c r="CK34" s="34"/>
      <c r="CL34" s="31" t="s">
        <v>417</v>
      </c>
      <c r="CM34" s="34"/>
      <c r="CN34" s="31" t="s">
        <v>487</v>
      </c>
      <c r="CO34" s="34"/>
      <c r="CP34" s="31" t="s">
        <v>296</v>
      </c>
      <c r="CQ34" s="34"/>
      <c r="CR34" s="31"/>
      <c r="CS34" s="34" t="s">
        <v>892</v>
      </c>
      <c r="CT34" s="31"/>
      <c r="CU34" s="34" t="s">
        <v>99</v>
      </c>
      <c r="CV34" s="31" t="s">
        <v>852</v>
      </c>
      <c r="CW34" s="34"/>
      <c r="CX34" s="31" t="s">
        <v>859</v>
      </c>
      <c r="CY34" s="34" t="s">
        <v>873</v>
      </c>
      <c r="CZ34" s="31"/>
      <c r="DA34" s="34" t="s">
        <v>485</v>
      </c>
      <c r="DB34" s="31"/>
      <c r="DC34" s="34" t="s">
        <v>920</v>
      </c>
      <c r="DD34" s="31"/>
      <c r="DE34" s="34" t="s">
        <v>134</v>
      </c>
      <c r="DF34" s="31" t="s">
        <v>875</v>
      </c>
      <c r="DG34" s="34"/>
      <c r="DH34" s="31"/>
      <c r="DI34" s="34"/>
      <c r="DJ34" s="31" t="s">
        <v>272</v>
      </c>
      <c r="DK34" s="34" t="s">
        <v>52</v>
      </c>
      <c r="DL34" s="31" t="s">
        <v>428</v>
      </c>
      <c r="DM34" s="34"/>
      <c r="DN34" s="31"/>
      <c r="DO34" s="34"/>
      <c r="DP34" s="31"/>
      <c r="DQ34" s="34"/>
      <c r="DR34" s="31"/>
      <c r="DS34" s="34" t="s">
        <v>75</v>
      </c>
      <c r="DT34" s="31"/>
      <c r="DU34" s="34" t="s">
        <v>267</v>
      </c>
      <c r="DV34" s="31" t="s">
        <v>109</v>
      </c>
      <c r="DW34" s="34" t="s">
        <v>895</v>
      </c>
      <c r="DX34" s="31"/>
      <c r="DY34" s="34"/>
      <c r="DZ34" s="31"/>
      <c r="EA34" s="34" t="s">
        <v>595</v>
      </c>
      <c r="EB34" s="31"/>
      <c r="EC34" s="34"/>
      <c r="ED34" s="31"/>
      <c r="EE34" s="34" t="s">
        <v>83</v>
      </c>
      <c r="EF34" s="31"/>
      <c r="EG34" s="34"/>
      <c r="EH34" s="31"/>
      <c r="EI34" s="34"/>
      <c r="EJ34" s="31"/>
      <c r="EK34" s="34" t="s">
        <v>535</v>
      </c>
      <c r="EL34" s="31"/>
      <c r="EM34" s="34" t="s">
        <v>145</v>
      </c>
      <c r="EN34" s="31"/>
      <c r="EO34" s="34" t="s">
        <v>880</v>
      </c>
      <c r="EP34" s="31"/>
      <c r="EQ34" s="34"/>
      <c r="ER34" s="31"/>
      <c r="ES34" s="34" t="s">
        <v>935</v>
      </c>
      <c r="ET34" s="31"/>
      <c r="EU34" s="34" t="s">
        <v>264</v>
      </c>
      <c r="EV34" s="31"/>
      <c r="EW34" s="34"/>
      <c r="EX34" s="31" t="s">
        <v>903</v>
      </c>
      <c r="EY34" s="34" t="s">
        <v>559</v>
      </c>
      <c r="EZ34" s="31" t="s">
        <v>156</v>
      </c>
      <c r="FA34" s="34"/>
      <c r="FB34" s="31"/>
      <c r="FC34" s="34" t="s">
        <v>940</v>
      </c>
      <c r="FD34" s="31" t="s">
        <v>484</v>
      </c>
      <c r="FE34" s="34"/>
      <c r="FF34" s="31"/>
      <c r="FG34" s="34"/>
      <c r="FH34" s="31"/>
      <c r="FI34" s="34" t="s">
        <v>354</v>
      </c>
      <c r="FJ34" s="31" t="s">
        <v>278</v>
      </c>
      <c r="FK34" s="34" t="s">
        <v>341</v>
      </c>
      <c r="FL34" s="31"/>
      <c r="FM34" s="34"/>
      <c r="FN34" s="31" t="s">
        <v>465</v>
      </c>
      <c r="FO34" s="34"/>
      <c r="FP34" s="31"/>
      <c r="FQ34" s="34"/>
      <c r="FR34" s="31" t="s">
        <v>405</v>
      </c>
      <c r="FS34" s="39"/>
      <c r="FT34" s="39"/>
      <c r="FU34" s="34" t="s">
        <v>630</v>
      </c>
      <c r="FV34" s="31"/>
      <c r="FW34" s="34"/>
      <c r="FX34" s="31"/>
      <c r="FY34" s="34"/>
      <c r="FZ34" s="31" t="s">
        <v>933</v>
      </c>
      <c r="GA34" s="34" t="s">
        <v>874</v>
      </c>
      <c r="GB34" s="31" t="s">
        <v>893</v>
      </c>
      <c r="GC34" s="34"/>
      <c r="GD34" s="31"/>
      <c r="GE34" s="34"/>
      <c r="GF34" s="31"/>
      <c r="GG34" s="34"/>
      <c r="GH34" s="31"/>
      <c r="GI34" s="34" t="s">
        <v>454</v>
      </c>
      <c r="GJ34" s="31" t="s">
        <v>905</v>
      </c>
      <c r="GK34" s="34"/>
      <c r="GL34" s="31" t="s">
        <v>106</v>
      </c>
      <c r="GM34" s="34" t="s">
        <v>501</v>
      </c>
      <c r="GN34" s="31"/>
      <c r="GO34" s="34"/>
      <c r="GP34" s="31"/>
      <c r="GQ34" s="34" t="s">
        <v>244</v>
      </c>
      <c r="GR34" s="31"/>
      <c r="GS34" s="34"/>
      <c r="GT34" s="31" t="s">
        <v>476</v>
      </c>
      <c r="GU34" s="34"/>
      <c r="GV34" s="31"/>
      <c r="GW34" s="34"/>
      <c r="GX34" s="31"/>
      <c r="GY34" s="34"/>
      <c r="GZ34" s="31"/>
      <c r="HA34" s="34" t="s">
        <v>582</v>
      </c>
      <c r="HB34" s="31"/>
      <c r="HC34" s="34" t="s">
        <v>129</v>
      </c>
      <c r="HD34" s="30" t="s">
        <v>102</v>
      </c>
      <c r="HE34" s="34" t="s">
        <v>901</v>
      </c>
      <c r="HF34" s="31"/>
      <c r="HG34" s="34"/>
      <c r="HH34" s="31"/>
      <c r="HI34" s="34"/>
      <c r="HJ34" s="31" t="s">
        <v>1055</v>
      </c>
      <c r="HK34" s="34"/>
      <c r="HL34" s="31" t="s">
        <v>444</v>
      </c>
      <c r="HM34" s="34" t="s">
        <v>887</v>
      </c>
      <c r="HN34" s="31"/>
      <c r="HO34" s="34" t="s">
        <v>523</v>
      </c>
      <c r="HP34" s="31"/>
      <c r="HQ34" s="34"/>
      <c r="HR34" s="31"/>
      <c r="HS34" s="34" t="s">
        <v>195</v>
      </c>
      <c r="HT34" s="31"/>
      <c r="HU34" s="34"/>
      <c r="HV34" s="31" t="s">
        <v>370</v>
      </c>
      <c r="HW34" s="34"/>
      <c r="HX34" s="39" t="s">
        <v>163</v>
      </c>
      <c r="HY34" s="39" t="s">
        <v>877</v>
      </c>
      <c r="HZ34" s="31"/>
      <c r="IA34" s="34"/>
      <c r="IB34" s="31" t="s">
        <v>952</v>
      </c>
      <c r="IC34" s="34" t="s">
        <v>856</v>
      </c>
      <c r="ID34" s="31"/>
      <c r="IE34" s="34" t="s">
        <v>1227</v>
      </c>
      <c r="IF34" s="31"/>
      <c r="IG34" s="34"/>
      <c r="IH34" s="31"/>
      <c r="II34" s="34" t="s">
        <v>870</v>
      </c>
      <c r="IJ34" s="31" t="s">
        <v>460</v>
      </c>
      <c r="IK34" s="34" t="s">
        <v>937</v>
      </c>
      <c r="IL34" s="31"/>
      <c r="IM34" s="34" t="s">
        <v>175</v>
      </c>
      <c r="IN34" s="31"/>
      <c r="IO34" s="34" t="s">
        <v>230</v>
      </c>
      <c r="IP34" s="31" t="s">
        <v>45</v>
      </c>
      <c r="IQ34" s="34" t="s">
        <v>301</v>
      </c>
      <c r="IR34" s="31"/>
      <c r="IS34" s="34"/>
      <c r="IT34" s="31"/>
      <c r="IU34" s="34"/>
      <c r="IV34" s="31"/>
      <c r="IW34" s="34"/>
      <c r="IX34" s="31" t="s">
        <v>344</v>
      </c>
      <c r="IY34" s="34" t="s">
        <v>902</v>
      </c>
      <c r="IZ34" s="31"/>
      <c r="JA34" s="34" t="s">
        <v>871</v>
      </c>
      <c r="JB34" s="36"/>
    </row>
    <row r="35" spans="1:262" ht="30" customHeight="1" x14ac:dyDescent="0.25">
      <c r="A35" s="27" t="s">
        <v>1273</v>
      </c>
      <c r="B35" s="48" t="str">
        <f t="shared" si="1"/>
        <v>1st Choice Development
3fficient
ACR Solar
Alpha Energy Management, Inc.
Ambrose Construction Inc
Ameresco Solar
Apollo Home Performance
Aztec Solar Inc.
Bright Power
Byers
CalCom Energy
California Solar Integrators, Inc.
California State Development
Capital City Solar
Centrica Business Solutions
Chico Electric
Citadel Roofing &amp; Solar
Climatec
CMCO Electric &amp; Solar
DC Solar Electric, Inc
DEL SOL NRG, INC.
Economic Energy Solutions
EDF Renewables Distributed Solutions
Enable Energy, Inc.
Enel X North America
Energy Independence Group
Energy Innovative Solutions LLC
Engie Services US
ForeFront Power
Freevolt
Fresco Solar
Future Energy Corporation
Gold Rush Energy Solutions
Golden State Power
Green Water and Power
GRID Alternatives
GS Homes
GTi Solar Construction
Horizon Solar Power
Ilum Solar
Infinity Energy Inc
Klein Power Electric
Kota Construction
Kuubix Energy, Inc.
LA Solar Group
Laibach Solar
LLUMETEC
Mack Electric/Gardner Energy
Michael &amp; Sun Solar Inc
Modernize Construction
North State Solar Energy Construction
NRG Clean Power
Pac Solar Corporation
Pacific Rim ConstructioRAM SOLAR
PacificWest Energy Solutions, Inc.
Promise Energy Inc
REC Solar
Sage Energy Consulting
Sarter Construction &amp; Design, Inc / Off the Grid Design / Sol Lux Alpha
Semper Solaris
Sierra Pacific
SIG Solar
Simmitri, Inc
Solar Gain West LLC
Solar Optimum Inc
Solar Pros Inc.
Solar Savings Direct
SolarNorcal, LLC
SolarWinds Energy
Spreck Energy
Stem, Inc.
Stronghold Engineering
Sun Light &amp; Power
Sun Power by Ambrose
Sun River Solar
Sunce Energy Solutions, Inc.
Sungenix Energy Solutions
Sunnova Energy
SunPower by Hooked On Solar
SunPower Corporation
SunStor
Sunstreet
Sunterra Solar Inc
Sunworks
Sustainable Energy Group
Sustainable Technologies
Sustineo
Swell Energy
Synergy Power
Trinity Power
Urban Energy Inc
V3 Electric Inc
Vivint Solar
West Coast Solar
Westhaven Inc.
Your Energy Source (YES)</v>
      </c>
      <c r="C35" s="29" t="s">
        <v>857</v>
      </c>
      <c r="D35" s="30" t="s">
        <v>863</v>
      </c>
      <c r="E35" s="34"/>
      <c r="F35" s="31"/>
      <c r="G35" s="34" t="s">
        <v>866</v>
      </c>
      <c r="H35" s="31"/>
      <c r="I35" s="34"/>
      <c r="J35" s="31"/>
      <c r="K35" s="34"/>
      <c r="L35" s="31"/>
      <c r="M35" s="34"/>
      <c r="N35" s="30" t="s">
        <v>1295</v>
      </c>
      <c r="O35" s="34"/>
      <c r="P35" s="31"/>
      <c r="Q35" s="34"/>
      <c r="R35" s="31"/>
      <c r="S35" s="34" t="s">
        <v>87</v>
      </c>
      <c r="T35" s="31" t="s">
        <v>427</v>
      </c>
      <c r="U35" s="34" t="s">
        <v>915</v>
      </c>
      <c r="V35" s="31"/>
      <c r="W35" s="34"/>
      <c r="X35" s="31" t="s">
        <v>401</v>
      </c>
      <c r="Y35" s="34"/>
      <c r="Z35" s="31"/>
      <c r="AA35" s="34"/>
      <c r="AB35" s="31"/>
      <c r="AC35" s="34"/>
      <c r="AD35" s="31"/>
      <c r="AE35" s="34"/>
      <c r="AF35" s="31"/>
      <c r="AG35" s="34"/>
      <c r="AH35" s="31"/>
      <c r="AI35" s="34" t="s">
        <v>202</v>
      </c>
      <c r="AJ35" s="31"/>
      <c r="AK35" s="34" t="s">
        <v>882</v>
      </c>
      <c r="AL35" s="31" t="s">
        <v>217</v>
      </c>
      <c r="AM35" s="34"/>
      <c r="AN35" s="31"/>
      <c r="AO35" s="34" t="s">
        <v>497</v>
      </c>
      <c r="AP35" s="31" t="s">
        <v>1231</v>
      </c>
      <c r="AQ35" s="34"/>
      <c r="AR35" s="31" t="s">
        <v>923</v>
      </c>
      <c r="AS35" s="34" t="s">
        <v>60</v>
      </c>
      <c r="AT35" s="31" t="s">
        <v>205</v>
      </c>
      <c r="AU35" s="34"/>
      <c r="AV35" s="31" t="s">
        <v>199</v>
      </c>
      <c r="AW35" s="34"/>
      <c r="AX35" s="31"/>
      <c r="AY35" s="34"/>
      <c r="AZ35" s="31"/>
      <c r="BA35" s="34" t="s">
        <v>351</v>
      </c>
      <c r="BB35" s="31"/>
      <c r="BC35" s="34" t="s">
        <v>142</v>
      </c>
      <c r="BD35" s="31"/>
      <c r="BE35" s="34"/>
      <c r="BF35" s="31"/>
      <c r="BG35" s="34"/>
      <c r="BH35" s="31"/>
      <c r="BI35" s="34"/>
      <c r="BJ35" s="31" t="s">
        <v>321</v>
      </c>
      <c r="BK35" s="34" t="s">
        <v>148</v>
      </c>
      <c r="BL35" s="31"/>
      <c r="BM35" s="34"/>
      <c r="BN35" s="31"/>
      <c r="BO35" s="34" t="s">
        <v>914</v>
      </c>
      <c r="BP35" s="31"/>
      <c r="BQ35" s="34" t="s">
        <v>391</v>
      </c>
      <c r="BR35" s="31"/>
      <c r="BS35" s="34"/>
      <c r="BT35" s="31"/>
      <c r="BU35" s="34"/>
      <c r="BV35" s="31" t="s">
        <v>330</v>
      </c>
      <c r="BW35" s="34" t="s">
        <v>532</v>
      </c>
      <c r="BX35" s="31" t="s">
        <v>280</v>
      </c>
      <c r="BY35" s="34" t="s">
        <v>211</v>
      </c>
      <c r="BZ35" s="31"/>
      <c r="CA35" s="34" t="s">
        <v>853</v>
      </c>
      <c r="CB35" s="31"/>
      <c r="CC35" s="34"/>
      <c r="CD35" s="31"/>
      <c r="CE35" s="34" t="s">
        <v>275</v>
      </c>
      <c r="CF35" s="31" t="s">
        <v>253</v>
      </c>
      <c r="CG35" s="34"/>
      <c r="CH35" s="31" t="s">
        <v>929</v>
      </c>
      <c r="CI35" s="34"/>
      <c r="CJ35" s="31" t="s">
        <v>323</v>
      </c>
      <c r="CK35" s="34"/>
      <c r="CL35" s="31"/>
      <c r="CM35" s="34"/>
      <c r="CN35" s="31" t="s">
        <v>487</v>
      </c>
      <c r="CO35" s="34"/>
      <c r="CP35" s="31" t="s">
        <v>296</v>
      </c>
      <c r="CQ35" s="34"/>
      <c r="CR35" s="31"/>
      <c r="CS35" s="34" t="s">
        <v>892</v>
      </c>
      <c r="CT35" s="31"/>
      <c r="CU35" s="34" t="s">
        <v>99</v>
      </c>
      <c r="CV35" s="31" t="s">
        <v>852</v>
      </c>
      <c r="CW35" s="34" t="s">
        <v>167</v>
      </c>
      <c r="CX35" s="31"/>
      <c r="CY35" s="34"/>
      <c r="CZ35" s="31"/>
      <c r="DA35" s="34"/>
      <c r="DB35" s="31"/>
      <c r="DC35" s="34"/>
      <c r="DD35" s="31"/>
      <c r="DE35" s="34" t="s">
        <v>134</v>
      </c>
      <c r="DF35" s="31"/>
      <c r="DG35" s="34"/>
      <c r="DH35" s="31"/>
      <c r="DI35" s="34"/>
      <c r="DJ35" s="31" t="s">
        <v>272</v>
      </c>
      <c r="DK35" s="34"/>
      <c r="DL35" s="31" t="s">
        <v>428</v>
      </c>
      <c r="DM35" s="34"/>
      <c r="DN35" s="31"/>
      <c r="DO35" s="34"/>
      <c r="DP35" s="31"/>
      <c r="DQ35" s="34"/>
      <c r="DR35" s="31"/>
      <c r="DS35" s="34"/>
      <c r="DT35" s="31" t="s">
        <v>41</v>
      </c>
      <c r="DU35" s="34" t="s">
        <v>267</v>
      </c>
      <c r="DV35" s="31" t="s">
        <v>109</v>
      </c>
      <c r="DW35" s="34" t="s">
        <v>895</v>
      </c>
      <c r="DX35" s="31" t="s">
        <v>932</v>
      </c>
      <c r="DY35" s="34"/>
      <c r="DZ35" s="31"/>
      <c r="EA35" s="34" t="s">
        <v>595</v>
      </c>
      <c r="EB35" s="31"/>
      <c r="EC35" s="34"/>
      <c r="ED35" s="31"/>
      <c r="EE35" s="34" t="s">
        <v>83</v>
      </c>
      <c r="EF35" s="31"/>
      <c r="EG35" s="34"/>
      <c r="EH35" s="31" t="s">
        <v>250</v>
      </c>
      <c r="EI35" s="34"/>
      <c r="EJ35" s="31" t="s">
        <v>136</v>
      </c>
      <c r="EK35" s="34"/>
      <c r="EL35" s="31"/>
      <c r="EM35" s="34"/>
      <c r="EN35" s="31"/>
      <c r="EO35" s="34"/>
      <c r="EP35" s="31"/>
      <c r="EQ35" s="34" t="s">
        <v>363</v>
      </c>
      <c r="ER35" s="31"/>
      <c r="ES35" s="34" t="s">
        <v>935</v>
      </c>
      <c r="ET35" s="31"/>
      <c r="EU35" s="34"/>
      <c r="EV35" s="31" t="s">
        <v>286</v>
      </c>
      <c r="EW35" s="34" t="s">
        <v>983</v>
      </c>
      <c r="EX35" s="31"/>
      <c r="EY35" s="34" t="s">
        <v>559</v>
      </c>
      <c r="EZ35" s="31"/>
      <c r="FA35" s="34"/>
      <c r="FB35" s="31"/>
      <c r="FC35" s="34"/>
      <c r="FD35" s="31" t="s">
        <v>484</v>
      </c>
      <c r="FE35" s="34"/>
      <c r="FF35" s="31"/>
      <c r="FG35" s="34"/>
      <c r="FH35" s="31"/>
      <c r="FI35" s="34" t="s">
        <v>354</v>
      </c>
      <c r="FJ35" s="31"/>
      <c r="FK35" s="34"/>
      <c r="FL35" s="31"/>
      <c r="FM35" s="34"/>
      <c r="FN35" s="31" t="s">
        <v>465</v>
      </c>
      <c r="FO35" s="34"/>
      <c r="FP35" s="31"/>
      <c r="FQ35" s="34" t="s">
        <v>171</v>
      </c>
      <c r="FR35" s="31"/>
      <c r="FS35" s="39"/>
      <c r="FT35" s="39"/>
      <c r="FU35" s="34" t="s">
        <v>630</v>
      </c>
      <c r="FV35" s="31"/>
      <c r="FW35" s="34" t="s">
        <v>886</v>
      </c>
      <c r="FX35" s="31" t="s">
        <v>934</v>
      </c>
      <c r="FY35" s="34" t="s">
        <v>562</v>
      </c>
      <c r="FZ35" s="31"/>
      <c r="GA35" s="34"/>
      <c r="GB35" s="31"/>
      <c r="GC35" s="34"/>
      <c r="GD35" s="31"/>
      <c r="GE35" s="34"/>
      <c r="GF35" s="31"/>
      <c r="GG35" s="34"/>
      <c r="GH35" s="31"/>
      <c r="GI35" s="34" t="s">
        <v>454</v>
      </c>
      <c r="GJ35" s="31"/>
      <c r="GK35" s="34"/>
      <c r="GL35" s="31" t="s">
        <v>106</v>
      </c>
      <c r="GM35" s="34" t="s">
        <v>501</v>
      </c>
      <c r="GN35" s="31"/>
      <c r="GO35" s="34" t="s">
        <v>96</v>
      </c>
      <c r="GP35" s="31"/>
      <c r="GQ35" s="34"/>
      <c r="GR35" s="31"/>
      <c r="GS35" s="34"/>
      <c r="GT35" s="31"/>
      <c r="GU35" s="34" t="s">
        <v>160</v>
      </c>
      <c r="GV35" s="31"/>
      <c r="GW35" s="34" t="s">
        <v>227</v>
      </c>
      <c r="GX35" s="31"/>
      <c r="GY35" s="34"/>
      <c r="GZ35" s="31" t="s">
        <v>894</v>
      </c>
      <c r="HA35" s="34"/>
      <c r="HB35" s="31"/>
      <c r="HC35" s="34"/>
      <c r="HD35" s="30" t="s">
        <v>102</v>
      </c>
      <c r="HE35" s="34" t="s">
        <v>901</v>
      </c>
      <c r="HF35" s="31" t="s">
        <v>337</v>
      </c>
      <c r="HG35" s="34" t="s">
        <v>925</v>
      </c>
      <c r="HH35" s="31" t="s">
        <v>297</v>
      </c>
      <c r="HI35" s="34"/>
      <c r="HJ35" s="31" t="s">
        <v>1055</v>
      </c>
      <c r="HK35" s="34" t="s">
        <v>77</v>
      </c>
      <c r="HL35" s="31"/>
      <c r="HM35" s="34"/>
      <c r="HN35" s="31"/>
      <c r="HO35" s="34" t="s">
        <v>523</v>
      </c>
      <c r="HP35" s="31"/>
      <c r="HQ35" s="34" t="s">
        <v>1303</v>
      </c>
      <c r="HR35" s="31"/>
      <c r="HS35" s="34" t="s">
        <v>195</v>
      </c>
      <c r="HT35" s="31"/>
      <c r="HU35" s="34" t="s">
        <v>183</v>
      </c>
      <c r="HV35" s="31" t="s">
        <v>370</v>
      </c>
      <c r="HW35" s="34"/>
      <c r="HX35" s="39" t="s">
        <v>163</v>
      </c>
      <c r="HY35" s="39" t="s">
        <v>877</v>
      </c>
      <c r="HZ35" s="31" t="s">
        <v>49</v>
      </c>
      <c r="IA35" s="34" t="s">
        <v>544</v>
      </c>
      <c r="IB35" s="31" t="s">
        <v>952</v>
      </c>
      <c r="IC35" s="34" t="s">
        <v>856</v>
      </c>
      <c r="ID35" s="31"/>
      <c r="IE35" s="34"/>
      <c r="IF35" s="31" t="s">
        <v>513</v>
      </c>
      <c r="IG35" s="34"/>
      <c r="IH35" s="31"/>
      <c r="II35" s="34"/>
      <c r="IJ35" s="31"/>
      <c r="IK35" s="34" t="s">
        <v>937</v>
      </c>
      <c r="IL35" s="31" t="s">
        <v>80</v>
      </c>
      <c r="IM35" s="34" t="s">
        <v>175</v>
      </c>
      <c r="IN35" s="31"/>
      <c r="IO35" s="34"/>
      <c r="IP35" s="31" t="s">
        <v>45</v>
      </c>
      <c r="IQ35" s="34"/>
      <c r="IR35" s="31"/>
      <c r="IS35" s="34"/>
      <c r="IT35" s="31" t="s">
        <v>855</v>
      </c>
      <c r="IU35" s="34"/>
      <c r="IV35" s="31" t="s">
        <v>315</v>
      </c>
      <c r="IW35" s="34"/>
      <c r="IX35" s="31"/>
      <c r="IY35" s="34"/>
      <c r="IZ35" s="31"/>
      <c r="JA35" s="34" t="s">
        <v>871</v>
      </c>
      <c r="JB35" s="36"/>
    </row>
    <row r="36" spans="1:262" ht="30" customHeight="1" x14ac:dyDescent="0.25">
      <c r="A36" s="26" t="s">
        <v>1290</v>
      </c>
      <c r="B36" s="48" t="str">
        <f t="shared" si="1"/>
        <v>1st Choice Development
Alpha Energy Management, Inc.
Apollo Home Performance
Blue Planet Water and Power Company
Bright Future Solar Energy
Bright Power
California Solar Integrators, Inc.
California State Development
Centrica Business Solutions
Climatec
Communication Infrastructure Corporation (CIC)
Day One Solar
DC Solar Electric, Inc
Earth Electric Incorporated
EDF Renewables Distributed Solutions
Enable Energy, Inc.
Enel X North America
Energy Independence Group
Engie Services US
ForeFront Power
Fresco Solar
Gold Rush Energy Solutions
Golden State Solar
Green Water and Power
GRID Alternatives
GS Homes
Horizon Solar Power
Ilum Solar
Infinity Energy Inc
Kota Construction
Kuubix Energy, Inc.
LA Solar Group
LLUMETEC
Mack Electric/Gardner Energy
NRG Clean Power
Pacific Rim ConstructioRAM SOLAR
PacificWest Energy Solutions, Inc.
Perrybuilt Construction
Promise Energy Inc
REC Solar
Sage Energy Consulting
Simmitri, Inc
Solar Gain West LLC
Solar Pros Inc.
SolTek Industries Inc.
Spreck Energy
Stem, Inc.
Stronghold Engineering
Sun Light &amp; Power
Sunnova Energy
SunPower by Quality Home Services
SunPower Corporation
Sunterra Solar Inc
Sunworks
Swell Energy
Trinity Power
Vivint Solar
Your Energy Source (YES)</v>
      </c>
      <c r="C36" s="29" t="s">
        <v>857</v>
      </c>
      <c r="D36" s="31"/>
      <c r="E36" s="34"/>
      <c r="F36" s="31"/>
      <c r="G36" s="34"/>
      <c r="H36" s="31"/>
      <c r="I36" s="34"/>
      <c r="J36" s="31"/>
      <c r="K36" s="34"/>
      <c r="L36" s="31"/>
      <c r="M36" s="34"/>
      <c r="N36" s="30" t="s">
        <v>1295</v>
      </c>
      <c r="O36" s="34"/>
      <c r="P36" s="31"/>
      <c r="Q36" s="34"/>
      <c r="R36" s="31"/>
      <c r="S36" s="34"/>
      <c r="T36" s="31"/>
      <c r="U36" s="34" t="s">
        <v>915</v>
      </c>
      <c r="V36" s="31"/>
      <c r="W36" s="34"/>
      <c r="X36" s="31"/>
      <c r="Y36" s="34"/>
      <c r="Z36" s="31"/>
      <c r="AA36" s="34"/>
      <c r="AB36" s="31"/>
      <c r="AC36" s="34"/>
      <c r="AD36" s="31"/>
      <c r="AE36" s="34" t="s">
        <v>943</v>
      </c>
      <c r="AF36" s="31"/>
      <c r="AG36" s="34" t="s">
        <v>928</v>
      </c>
      <c r="AH36" s="31"/>
      <c r="AI36" s="34" t="s">
        <v>202</v>
      </c>
      <c r="AJ36" s="31"/>
      <c r="AK36" s="34"/>
      <c r="AL36" s="31"/>
      <c r="AM36" s="34"/>
      <c r="AN36" s="31"/>
      <c r="AO36" s="34" t="s">
        <v>497</v>
      </c>
      <c r="AP36" s="31" t="s">
        <v>1231</v>
      </c>
      <c r="AQ36" s="34"/>
      <c r="AR36" s="31"/>
      <c r="AS36" s="34" t="s">
        <v>60</v>
      </c>
      <c r="AT36" s="31"/>
      <c r="AU36" s="34"/>
      <c r="AV36" s="31"/>
      <c r="AW36" s="34"/>
      <c r="AX36" s="31"/>
      <c r="AY36" s="34"/>
      <c r="AZ36" s="31"/>
      <c r="BA36" s="34" t="s">
        <v>351</v>
      </c>
      <c r="BB36" s="31"/>
      <c r="BC36" s="34"/>
      <c r="BD36" s="31"/>
      <c r="BE36" s="34" t="s">
        <v>1215</v>
      </c>
      <c r="BF36" s="31"/>
      <c r="BG36" s="34"/>
      <c r="BH36" s="31"/>
      <c r="BI36" s="33" t="s">
        <v>938</v>
      </c>
      <c r="BJ36" s="31" t="s">
        <v>321</v>
      </c>
      <c r="BK36" s="34"/>
      <c r="BL36" s="31"/>
      <c r="BM36" s="34" t="s">
        <v>67</v>
      </c>
      <c r="BN36" s="31"/>
      <c r="BO36" s="34"/>
      <c r="BP36" s="31"/>
      <c r="BQ36" s="34" t="s">
        <v>391</v>
      </c>
      <c r="BR36" s="31"/>
      <c r="BS36" s="34"/>
      <c r="BT36" s="31"/>
      <c r="BU36" s="34"/>
      <c r="BV36" s="31" t="s">
        <v>330</v>
      </c>
      <c r="BW36" s="34" t="s">
        <v>532</v>
      </c>
      <c r="BX36" s="31" t="s">
        <v>280</v>
      </c>
      <c r="BY36" s="34"/>
      <c r="BZ36" s="31"/>
      <c r="CA36" s="34" t="s">
        <v>853</v>
      </c>
      <c r="CB36" s="31"/>
      <c r="CC36" s="34"/>
      <c r="CD36" s="31"/>
      <c r="CE36" s="34" t="s">
        <v>275</v>
      </c>
      <c r="CF36" s="31"/>
      <c r="CG36" s="34"/>
      <c r="CH36" s="31" t="s">
        <v>929</v>
      </c>
      <c r="CI36" s="34"/>
      <c r="CJ36" s="31"/>
      <c r="CK36" s="34"/>
      <c r="CL36" s="31"/>
      <c r="CM36" s="34"/>
      <c r="CN36" s="31" t="s">
        <v>487</v>
      </c>
      <c r="CO36" s="34"/>
      <c r="CP36" s="31"/>
      <c r="CQ36" s="34" t="s">
        <v>945</v>
      </c>
      <c r="CR36" s="31"/>
      <c r="CS36" s="34" t="s">
        <v>892</v>
      </c>
      <c r="CT36" s="31"/>
      <c r="CU36" s="34" t="s">
        <v>99</v>
      </c>
      <c r="CV36" s="31" t="s">
        <v>852</v>
      </c>
      <c r="CW36" s="34"/>
      <c r="CX36" s="31"/>
      <c r="CY36" s="34"/>
      <c r="CZ36" s="31"/>
      <c r="DA36" s="34"/>
      <c r="DB36" s="31"/>
      <c r="DC36" s="34"/>
      <c r="DD36" s="31"/>
      <c r="DE36" s="34" t="s">
        <v>134</v>
      </c>
      <c r="DF36" s="31"/>
      <c r="DG36" s="34"/>
      <c r="DH36" s="31"/>
      <c r="DI36" s="34"/>
      <c r="DJ36" s="31" t="s">
        <v>272</v>
      </c>
      <c r="DK36" s="34"/>
      <c r="DL36" s="31" t="s">
        <v>428</v>
      </c>
      <c r="DM36" s="34"/>
      <c r="DN36" s="31"/>
      <c r="DO36" s="34"/>
      <c r="DP36" s="31"/>
      <c r="DQ36" s="34"/>
      <c r="DR36" s="31"/>
      <c r="DS36" s="34"/>
      <c r="DT36" s="31"/>
      <c r="DU36" s="34" t="s">
        <v>267</v>
      </c>
      <c r="DV36" s="31" t="s">
        <v>109</v>
      </c>
      <c r="DW36" s="34" t="s">
        <v>895</v>
      </c>
      <c r="DX36" s="31"/>
      <c r="DY36" s="34"/>
      <c r="DZ36" s="31"/>
      <c r="EA36" s="34" t="s">
        <v>595</v>
      </c>
      <c r="EB36" s="31"/>
      <c r="EC36" s="34"/>
      <c r="ED36" s="31"/>
      <c r="EE36" s="34" t="s">
        <v>83</v>
      </c>
      <c r="EF36" s="31"/>
      <c r="EG36" s="34"/>
      <c r="EH36" s="31"/>
      <c r="EI36" s="34"/>
      <c r="EJ36" s="31"/>
      <c r="EK36" s="34"/>
      <c r="EL36" s="31"/>
      <c r="EM36" s="34"/>
      <c r="EN36" s="31"/>
      <c r="EO36" s="34"/>
      <c r="EP36" s="31"/>
      <c r="EQ36" s="34"/>
      <c r="ER36" s="31"/>
      <c r="ES36" s="34" t="s">
        <v>935</v>
      </c>
      <c r="ET36" s="31"/>
      <c r="EU36" s="34"/>
      <c r="EV36" s="31"/>
      <c r="EW36" s="34" t="s">
        <v>983</v>
      </c>
      <c r="EX36" s="31"/>
      <c r="EY36" s="34" t="s">
        <v>559</v>
      </c>
      <c r="EZ36" s="31"/>
      <c r="FA36" s="34" t="s">
        <v>910</v>
      </c>
      <c r="FB36" s="31"/>
      <c r="FC36" s="34"/>
      <c r="FD36" s="31" t="s">
        <v>484</v>
      </c>
      <c r="FE36" s="34"/>
      <c r="FF36" s="31"/>
      <c r="FG36" s="34"/>
      <c r="FH36" s="31"/>
      <c r="FI36" s="34" t="s">
        <v>354</v>
      </c>
      <c r="FJ36" s="31"/>
      <c r="FK36" s="34"/>
      <c r="FL36" s="31"/>
      <c r="FM36" s="34"/>
      <c r="FN36" s="31" t="s">
        <v>465</v>
      </c>
      <c r="FO36" s="34"/>
      <c r="FP36" s="31"/>
      <c r="FQ36" s="34"/>
      <c r="FR36" s="31"/>
      <c r="FS36" s="39"/>
      <c r="FT36" s="39"/>
      <c r="FU36" s="34"/>
      <c r="FV36" s="31"/>
      <c r="FW36" s="34"/>
      <c r="FX36" s="31"/>
      <c r="FY36" s="34" t="s">
        <v>562</v>
      </c>
      <c r="FZ36" s="31"/>
      <c r="GA36" s="34"/>
      <c r="GB36" s="31"/>
      <c r="GC36" s="34"/>
      <c r="GD36" s="31"/>
      <c r="GE36" s="34"/>
      <c r="GF36" s="31"/>
      <c r="GG36" s="34"/>
      <c r="GH36" s="31"/>
      <c r="GI36" s="34" t="s">
        <v>454</v>
      </c>
      <c r="GJ36" s="31"/>
      <c r="GK36" s="34"/>
      <c r="GL36" s="31"/>
      <c r="GM36" s="34" t="s">
        <v>501</v>
      </c>
      <c r="GN36" s="31"/>
      <c r="GO36" s="34"/>
      <c r="GP36" s="31"/>
      <c r="GQ36" s="34"/>
      <c r="GR36" s="31"/>
      <c r="GS36" s="34"/>
      <c r="GT36" s="31"/>
      <c r="GU36" s="34"/>
      <c r="GV36" s="31"/>
      <c r="GW36" s="34"/>
      <c r="GX36" s="31" t="s">
        <v>950</v>
      </c>
      <c r="GY36" s="34"/>
      <c r="GZ36" s="31" t="s">
        <v>894</v>
      </c>
      <c r="HA36" s="34"/>
      <c r="HB36" s="31"/>
      <c r="HC36" s="34"/>
      <c r="HD36" s="30" t="s">
        <v>102</v>
      </c>
      <c r="HE36" s="34" t="s">
        <v>901</v>
      </c>
      <c r="HF36" s="31" t="s">
        <v>337</v>
      </c>
      <c r="HG36" s="34"/>
      <c r="HH36" s="31"/>
      <c r="HI36" s="34"/>
      <c r="HJ36" s="31"/>
      <c r="HK36" s="34"/>
      <c r="HL36" s="31"/>
      <c r="HM36" s="34"/>
      <c r="HN36" s="31"/>
      <c r="HO36" s="34" t="s">
        <v>523</v>
      </c>
      <c r="HP36" s="31"/>
      <c r="HQ36" s="34"/>
      <c r="HR36" s="31" t="s">
        <v>1302</v>
      </c>
      <c r="HS36" s="34" t="s">
        <v>195</v>
      </c>
      <c r="HT36" s="31"/>
      <c r="HU36" s="34"/>
      <c r="HV36" s="31"/>
      <c r="HW36" s="34"/>
      <c r="HX36" s="39" t="s">
        <v>163</v>
      </c>
      <c r="HY36" s="39" t="s">
        <v>877</v>
      </c>
      <c r="HZ36" s="31"/>
      <c r="IA36" s="34"/>
      <c r="IB36" s="31"/>
      <c r="IC36" s="34" t="s">
        <v>856</v>
      </c>
      <c r="ID36" s="31"/>
      <c r="IE36" s="34"/>
      <c r="IF36" s="31"/>
      <c r="IG36" s="34"/>
      <c r="IH36" s="31"/>
      <c r="II36" s="34"/>
      <c r="IJ36" s="31"/>
      <c r="IK36" s="34" t="s">
        <v>937</v>
      </c>
      <c r="IL36" s="31"/>
      <c r="IM36" s="34"/>
      <c r="IN36" s="31"/>
      <c r="IO36" s="34"/>
      <c r="IP36" s="31" t="s">
        <v>45</v>
      </c>
      <c r="IQ36" s="34"/>
      <c r="IR36" s="31"/>
      <c r="IS36" s="34"/>
      <c r="IT36" s="31"/>
      <c r="IU36" s="34"/>
      <c r="IV36" s="31"/>
      <c r="IW36" s="34"/>
      <c r="IX36" s="31"/>
      <c r="IY36" s="34"/>
      <c r="IZ36" s="31"/>
      <c r="JA36" s="34" t="s">
        <v>871</v>
      </c>
      <c r="JB36" s="36"/>
    </row>
    <row r="37" spans="1:262" ht="30" customHeight="1" x14ac:dyDescent="0.25">
      <c r="A37" s="27" t="s">
        <v>1264</v>
      </c>
      <c r="B37" s="48" t="str">
        <f t="shared" si="1"/>
        <v>1st Choice Development
Aeterna Energy
Alpha Energy Management, Inc.
Altadena Energy and Solar
Altair Solar Inc
Ameresco Solar
Apollo Home Performance
AWS Electrical &amp; Solar Inc.
Baker Electric
Belmont Energy
Blalock Electric &amp; Solar Inc.
Bright Life Solar
Bright Power
CalCom Energy
California Solar Integrators, Inc.
California State Development
Centrica Business Solutions
Citadel Roofing &amp; Solar
Climatec
Cobalt Power Systems, Inc.
DC Solar Electric, Inc
EDF Renewables Distributed Solutions
Effect Energy, Inc
Electro Thermal
Enel X North America
Energy Independence Group
Energy Innovative Solutions LLC
Energy Options
Engie Services US
First American Solar
ForeFront Power
Freevolt
FreeVolt USA INC
Future Energy Corporation
Go Green Solar
Gold Rush Energy Solutions
Golden State Power
Green Water and Power
GRID Alternatives
GS Homes
Guasti Solar
HES Solar
Horizon Solar Power
Hot Purple Energy
Ilum Solar
Infinity Energy Inc
Keith Smith and Son Inc.
Kota Construction
Kuubix Energy, Inc.
LA Solar Group
LLUMETEC
Mack Electric/Gardner Energy
Neighborhood ACE
New Day Solar
NRG Clean Power
Option One Solar
Pacific Sun Technologies
PacificWest Energy Solutions, Inc.
Palomar Solar and Roofing
Plug It In Solar
Promise Energy Inc
REC Solar
Renova Energy Corp
Revel Energy
Sage Energy Consulting
Semper Solaris
Simply Solar
SKR Solar
Solar Gain West LLC
Solar Gem
Solar Optimum Inc
Solar Pros Inc.
Solar Spectrom
Solar Symphony Construction Inc
Solargraham
Stada Energy
Stellar Solar
Stem, Inc.
Stronghold Engineering
Sunce Energy Solutions, Inc.
SunGreen Systems
Sunistics Group
Sunnova Energy
SunPower Corporation
Sunstreet
Sunterra Solar Inc
Sunworks
Sustineo
Swell Energy
Tree Public
Trinity Power
V3 Electric Inc
Vivint Solar
Voltage River
Xero Solar
Xnergy
Your Energy Source (YES)</v>
      </c>
      <c r="C37" s="29" t="s">
        <v>857</v>
      </c>
      <c r="D37" s="31"/>
      <c r="E37" s="34"/>
      <c r="F37" s="31"/>
      <c r="G37" s="34"/>
      <c r="H37" s="31"/>
      <c r="I37" s="34" t="s">
        <v>1233</v>
      </c>
      <c r="J37" s="31"/>
      <c r="K37" s="34"/>
      <c r="L37" s="31"/>
      <c r="M37" s="34"/>
      <c r="N37" s="30" t="s">
        <v>1295</v>
      </c>
      <c r="O37" s="34" t="s">
        <v>941</v>
      </c>
      <c r="P37" s="31" t="s">
        <v>122</v>
      </c>
      <c r="Q37" s="34"/>
      <c r="R37" s="31"/>
      <c r="S37" s="34"/>
      <c r="T37" s="31" t="s">
        <v>427</v>
      </c>
      <c r="U37" s="34" t="s">
        <v>915</v>
      </c>
      <c r="V37" s="31"/>
      <c r="W37" s="34" t="s">
        <v>293</v>
      </c>
      <c r="X37" s="31"/>
      <c r="Y37" s="34"/>
      <c r="Z37" s="31" t="s">
        <v>883</v>
      </c>
      <c r="AA37" s="34"/>
      <c r="AB37" s="31" t="s">
        <v>942</v>
      </c>
      <c r="AC37" s="34"/>
      <c r="AD37" s="31" t="s">
        <v>553</v>
      </c>
      <c r="AE37" s="34"/>
      <c r="AF37" s="31"/>
      <c r="AG37" s="34"/>
      <c r="AH37" s="31" t="s">
        <v>549</v>
      </c>
      <c r="AI37" s="34" t="s">
        <v>202</v>
      </c>
      <c r="AJ37" s="31"/>
      <c r="AK37" s="34"/>
      <c r="AL37" s="31" t="s">
        <v>217</v>
      </c>
      <c r="AM37" s="34"/>
      <c r="AN37" s="31"/>
      <c r="AO37" s="34" t="s">
        <v>497</v>
      </c>
      <c r="AP37" s="31" t="s">
        <v>1231</v>
      </c>
      <c r="AQ37" s="34"/>
      <c r="AR37" s="31"/>
      <c r="AS37" s="34" t="s">
        <v>60</v>
      </c>
      <c r="AT37" s="31"/>
      <c r="AU37" s="34"/>
      <c r="AV37" s="31" t="s">
        <v>199</v>
      </c>
      <c r="AW37" s="34"/>
      <c r="AX37" s="31"/>
      <c r="AY37" s="34"/>
      <c r="AZ37" s="31"/>
      <c r="BA37" s="34" t="s">
        <v>351</v>
      </c>
      <c r="BB37" s="31"/>
      <c r="BC37" s="34"/>
      <c r="BD37" s="31" t="s">
        <v>304</v>
      </c>
      <c r="BE37" s="34"/>
      <c r="BF37" s="31"/>
      <c r="BG37" s="34"/>
      <c r="BH37" s="31"/>
      <c r="BI37" s="34"/>
      <c r="BJ37" s="31" t="s">
        <v>321</v>
      </c>
      <c r="BK37" s="34"/>
      <c r="BL37" s="31"/>
      <c r="BM37" s="34"/>
      <c r="BN37" s="31"/>
      <c r="BO37" s="34"/>
      <c r="BP37" s="31"/>
      <c r="BQ37" s="34" t="s">
        <v>391</v>
      </c>
      <c r="BR37" s="31" t="s">
        <v>190</v>
      </c>
      <c r="BS37" s="34" t="s">
        <v>872</v>
      </c>
      <c r="BT37" s="31"/>
      <c r="BU37" s="34"/>
      <c r="BV37" s="31"/>
      <c r="BW37" s="34" t="s">
        <v>532</v>
      </c>
      <c r="BX37" s="31" t="s">
        <v>280</v>
      </c>
      <c r="BY37" s="34" t="s">
        <v>211</v>
      </c>
      <c r="BZ37" s="31" t="s">
        <v>896</v>
      </c>
      <c r="CA37" s="34" t="s">
        <v>853</v>
      </c>
      <c r="CB37" s="31"/>
      <c r="CC37" s="34" t="s">
        <v>537</v>
      </c>
      <c r="CD37" s="31"/>
      <c r="CE37" s="34" t="s">
        <v>275</v>
      </c>
      <c r="CF37" s="31" t="s">
        <v>253</v>
      </c>
      <c r="CG37" s="34" t="s">
        <v>327</v>
      </c>
      <c r="CH37" s="31"/>
      <c r="CI37" s="34"/>
      <c r="CJ37" s="31" t="s">
        <v>323</v>
      </c>
      <c r="CK37" s="34"/>
      <c r="CL37" s="31" t="s">
        <v>417</v>
      </c>
      <c r="CM37" s="34"/>
      <c r="CN37" s="31" t="s">
        <v>487</v>
      </c>
      <c r="CO37" s="34"/>
      <c r="CP37" s="31" t="s">
        <v>296</v>
      </c>
      <c r="CQ37" s="34"/>
      <c r="CR37" s="31"/>
      <c r="CS37" s="34" t="s">
        <v>892</v>
      </c>
      <c r="CT37" s="31"/>
      <c r="CU37" s="34" t="s">
        <v>99</v>
      </c>
      <c r="CV37" s="31" t="s">
        <v>852</v>
      </c>
      <c r="CW37" s="34"/>
      <c r="CX37" s="31" t="s">
        <v>859</v>
      </c>
      <c r="CY37" s="34"/>
      <c r="CZ37" s="31"/>
      <c r="DA37" s="34" t="s">
        <v>485</v>
      </c>
      <c r="DB37" s="31"/>
      <c r="DC37" s="34"/>
      <c r="DD37" s="31"/>
      <c r="DE37" s="34" t="s">
        <v>134</v>
      </c>
      <c r="DF37" s="31" t="s">
        <v>875</v>
      </c>
      <c r="DG37" s="34"/>
      <c r="DH37" s="31"/>
      <c r="DI37" s="34"/>
      <c r="DJ37" s="31" t="s">
        <v>272</v>
      </c>
      <c r="DK37" s="34"/>
      <c r="DL37" s="31" t="s">
        <v>428</v>
      </c>
      <c r="DM37" s="34"/>
      <c r="DN37" s="31"/>
      <c r="DO37" s="34"/>
      <c r="DP37" s="31"/>
      <c r="DQ37" s="34"/>
      <c r="DR37" s="31"/>
      <c r="DS37" s="34" t="s">
        <v>75</v>
      </c>
      <c r="DT37" s="31"/>
      <c r="DU37" s="34" t="s">
        <v>267</v>
      </c>
      <c r="DV37" s="31" t="s">
        <v>109</v>
      </c>
      <c r="DW37" s="34" t="s">
        <v>895</v>
      </c>
      <c r="DX37" s="31"/>
      <c r="DY37" s="34"/>
      <c r="DZ37" s="31"/>
      <c r="EA37" s="34" t="s">
        <v>595</v>
      </c>
      <c r="EB37" s="31"/>
      <c r="EC37" s="34"/>
      <c r="ED37" s="31"/>
      <c r="EE37" s="34" t="s">
        <v>83</v>
      </c>
      <c r="EF37" s="31"/>
      <c r="EG37" s="34"/>
      <c r="EH37" s="31"/>
      <c r="EI37" s="34"/>
      <c r="EJ37" s="31"/>
      <c r="EK37" s="34"/>
      <c r="EL37" s="31" t="s">
        <v>951</v>
      </c>
      <c r="EM37" s="34" t="s">
        <v>145</v>
      </c>
      <c r="EN37" s="31"/>
      <c r="EO37" s="34"/>
      <c r="EP37" s="31"/>
      <c r="EQ37" s="34"/>
      <c r="ER37" s="31"/>
      <c r="ES37" s="34" t="s">
        <v>935</v>
      </c>
      <c r="ET37" s="31"/>
      <c r="EU37" s="34" t="s">
        <v>264</v>
      </c>
      <c r="EV37" s="31"/>
      <c r="EW37" s="34"/>
      <c r="EX37" s="31" t="s">
        <v>903</v>
      </c>
      <c r="EY37" s="34" t="s">
        <v>559</v>
      </c>
      <c r="EZ37" s="31" t="s">
        <v>156</v>
      </c>
      <c r="FA37" s="34"/>
      <c r="FB37" s="31"/>
      <c r="FC37" s="34" t="s">
        <v>940</v>
      </c>
      <c r="FD37" s="31" t="s">
        <v>484</v>
      </c>
      <c r="FE37" s="34"/>
      <c r="FF37" s="31"/>
      <c r="FG37" s="34"/>
      <c r="FH37" s="31"/>
      <c r="FI37" s="34" t="s">
        <v>354</v>
      </c>
      <c r="FJ37" s="31" t="s">
        <v>278</v>
      </c>
      <c r="FK37" s="34" t="s">
        <v>341</v>
      </c>
      <c r="FL37" s="31"/>
      <c r="FM37" s="34"/>
      <c r="FN37" s="31" t="s">
        <v>465</v>
      </c>
      <c r="FO37" s="34"/>
      <c r="FP37" s="31"/>
      <c r="FQ37" s="34"/>
      <c r="FR37" s="31"/>
      <c r="FS37" s="39"/>
      <c r="FT37" s="39"/>
      <c r="FU37" s="34" t="s">
        <v>630</v>
      </c>
      <c r="FV37" s="31"/>
      <c r="FW37" s="34"/>
      <c r="FX37" s="31"/>
      <c r="FY37" s="34"/>
      <c r="FZ37" s="31" t="s">
        <v>933</v>
      </c>
      <c r="GA37" s="34"/>
      <c r="GB37" s="31" t="s">
        <v>893</v>
      </c>
      <c r="GC37" s="34"/>
      <c r="GD37" s="31"/>
      <c r="GE37" s="34"/>
      <c r="GF37" s="31"/>
      <c r="GG37" s="34"/>
      <c r="GH37" s="31"/>
      <c r="GI37" s="34" t="s">
        <v>454</v>
      </c>
      <c r="GJ37" s="31" t="s">
        <v>905</v>
      </c>
      <c r="GK37" s="34"/>
      <c r="GL37" s="31" t="s">
        <v>106</v>
      </c>
      <c r="GM37" s="34" t="s">
        <v>501</v>
      </c>
      <c r="GN37" s="31"/>
      <c r="GO37" s="34"/>
      <c r="GP37" s="31" t="s">
        <v>861</v>
      </c>
      <c r="GQ37" s="34" t="s">
        <v>244</v>
      </c>
      <c r="GR37" s="31"/>
      <c r="GS37" s="34"/>
      <c r="GT37" s="31" t="s">
        <v>476</v>
      </c>
      <c r="GU37" s="34"/>
      <c r="GV37" s="31"/>
      <c r="GW37" s="34"/>
      <c r="GX37" s="31"/>
      <c r="GY37" s="34"/>
      <c r="GZ37" s="31"/>
      <c r="HA37" s="34" t="s">
        <v>582</v>
      </c>
      <c r="HB37" s="31"/>
      <c r="HC37" s="34" t="s">
        <v>129</v>
      </c>
      <c r="HD37" s="30" t="s">
        <v>102</v>
      </c>
      <c r="HE37" s="34" t="s">
        <v>901</v>
      </c>
      <c r="HF37" s="31"/>
      <c r="HG37" s="34"/>
      <c r="HH37" s="31"/>
      <c r="HI37" s="34"/>
      <c r="HJ37" s="31" t="s">
        <v>1055</v>
      </c>
      <c r="HK37" s="34"/>
      <c r="HL37" s="31" t="s">
        <v>444</v>
      </c>
      <c r="HM37" s="34" t="s">
        <v>887</v>
      </c>
      <c r="HN37" s="31"/>
      <c r="HO37" s="34" t="s">
        <v>523</v>
      </c>
      <c r="HP37" s="31"/>
      <c r="HQ37" s="34"/>
      <c r="HR37" s="31"/>
      <c r="HS37" s="34" t="s">
        <v>195</v>
      </c>
      <c r="HT37" s="31"/>
      <c r="HU37" s="34"/>
      <c r="HV37" s="31" t="s">
        <v>370</v>
      </c>
      <c r="HW37" s="34"/>
      <c r="HX37" s="39" t="s">
        <v>163</v>
      </c>
      <c r="HY37" s="39" t="s">
        <v>877</v>
      </c>
      <c r="HZ37" s="31"/>
      <c r="IA37" s="34"/>
      <c r="IB37" s="31" t="s">
        <v>952</v>
      </c>
      <c r="IC37" s="34" t="s">
        <v>856</v>
      </c>
      <c r="ID37" s="31"/>
      <c r="IE37" s="34"/>
      <c r="IF37" s="31"/>
      <c r="IG37" s="34"/>
      <c r="IH37" s="31"/>
      <c r="II37" s="34" t="s">
        <v>870</v>
      </c>
      <c r="IJ37" s="31"/>
      <c r="IK37" s="34" t="s">
        <v>937</v>
      </c>
      <c r="IL37" s="31"/>
      <c r="IM37" s="34" t="s">
        <v>175</v>
      </c>
      <c r="IN37" s="31"/>
      <c r="IO37" s="34"/>
      <c r="IP37" s="31" t="s">
        <v>45</v>
      </c>
      <c r="IQ37" s="34" t="s">
        <v>301</v>
      </c>
      <c r="IR37" s="31"/>
      <c r="IS37" s="34"/>
      <c r="IT37" s="31"/>
      <c r="IU37" s="34"/>
      <c r="IV37" s="31"/>
      <c r="IW37" s="34"/>
      <c r="IX37" s="31" t="s">
        <v>344</v>
      </c>
      <c r="IY37" s="34" t="s">
        <v>902</v>
      </c>
      <c r="IZ37" s="31"/>
      <c r="JA37" s="34" t="s">
        <v>871</v>
      </c>
      <c r="JB37" s="36"/>
    </row>
    <row r="38" spans="1:262" ht="30" customHeight="1" x14ac:dyDescent="0.25">
      <c r="A38" s="26" t="s">
        <v>1265</v>
      </c>
      <c r="B38" s="48" t="str">
        <f t="shared" si="1"/>
        <v>1st Choice Development
3fficient
Aeterna Energy
San Diego
Alive Solar and Roofing
Alpha Energy Management, Inc.
ALX Company, Inc.
Ameresco Solar
Apollo Home Performance
Baker Electric
Baker Electric Home Energy
Belmont Energy
Blalock Electric &amp; Solar Inc.
Blue Planet Water and Power Company
Bright Life Solar
Bright Power
California Solar Integrators, Inc.
California State Development
Centrica Business Solutions
CleanTech Energy Solutions Inc.
Climatec
CM Solar Electric
Communication Infrastructure Corporation (CIC)
Cosmic Solar
DC Solar Electric, Inc
EcoSolar USA
EDF Renewables Distributed Solutions
Effect Energy, Inc
Electro Thermal
Enel X North America
Energy Independence Group
Energy Innovative Solutions LLC
Energy Options
Engie Services US
First American Solar
ForeFront Power
Freevolt
FreeVolt USA INC
GC Electric Solar
Go Green Solar
Gold Rush Energy Solutions
Golden State Power
Green Water and Power
GRID Alternatives
GS Homes
Harrison Electric and Solar
HES Solar
Home Grown Energy Solutions
Horizon Solar Power
Ilum Solar
Incentive Electric
Infinity Energy Inc
Jamar Power Systems
Keith Smith and Son Inc.
Kota Construction
Kuubix Energy, Inc.
LA Solar Group
Lets Get Solar
LLUMETEC
M. N. Mauzy Mechanical Inc.
Mack Electric/Gardner Energy
NB Baker LTD (Baker Electric Home Energy)
New Day Solar
NRG Clean Power
Option One Solar
Pacific Sun Technologies
PacificWest Energy Solutions, Inc.
Palomar Solar and Roofing
Promise Energy Inc
REC Solar
Revel Energy
Sage Energy Consulting
San Diego County Solar
San Diego Solar
Sattler Solar Inc.
Semper Solaris
Simply Solar
Skelly Electric
Solar Gain West LLC
Solar Gem
Solar Optimum Inc
Solar Pros Inc.
Solar Renewable Energy
Solar Symphony Construction Inc
Solare Energy
Solargraham
Stada Energy
Stellar Solar
Stem, Inc.
Stronghold Engineering
SunGreen Systems
Sunistics Group
Sunline Energy
Sunnova Energy
SunPower Corporation
Sunstreet
Sunterra Solar Inc
Sunworks
Sustineo
Swell Energy
Synergistic Energy Services, Inc.
Treeium Energy
Trinity Power
V3 Electric Inc
Vivint Solar
Voltage River
Xero Solar
Xnergy
Your Energy Source (YES)</v>
      </c>
      <c r="C38" s="29" t="s">
        <v>857</v>
      </c>
      <c r="D38" s="30" t="s">
        <v>863</v>
      </c>
      <c r="E38" s="34"/>
      <c r="F38" s="31"/>
      <c r="G38" s="34"/>
      <c r="H38" s="31"/>
      <c r="I38" s="34" t="s">
        <v>1233</v>
      </c>
      <c r="J38" s="31"/>
      <c r="K38" s="34"/>
      <c r="L38" s="31" t="s">
        <v>1265</v>
      </c>
      <c r="M38" s="34" t="s">
        <v>906</v>
      </c>
      <c r="N38" s="30" t="s">
        <v>1295</v>
      </c>
      <c r="O38" s="34"/>
      <c r="P38" s="31"/>
      <c r="Q38" s="34"/>
      <c r="R38" s="31" t="s">
        <v>936</v>
      </c>
      <c r="S38" s="34"/>
      <c r="T38" s="31" t="s">
        <v>427</v>
      </c>
      <c r="U38" s="34" t="s">
        <v>915</v>
      </c>
      <c r="V38" s="31"/>
      <c r="W38" s="34"/>
      <c r="X38" s="31"/>
      <c r="Y38" s="34"/>
      <c r="Z38" s="31" t="s">
        <v>883</v>
      </c>
      <c r="AA38" s="34" t="s">
        <v>360</v>
      </c>
      <c r="AB38" s="31" t="s">
        <v>942</v>
      </c>
      <c r="AC38" s="34"/>
      <c r="AD38" s="31" t="s">
        <v>553</v>
      </c>
      <c r="AE38" s="34" t="s">
        <v>943</v>
      </c>
      <c r="AF38" s="31"/>
      <c r="AG38" s="34"/>
      <c r="AH38" s="31" t="s">
        <v>549</v>
      </c>
      <c r="AI38" s="34" t="s">
        <v>202</v>
      </c>
      <c r="AJ38" s="31"/>
      <c r="AK38" s="34"/>
      <c r="AL38" s="31"/>
      <c r="AM38" s="34"/>
      <c r="AN38" s="31"/>
      <c r="AO38" s="34" t="s">
        <v>497</v>
      </c>
      <c r="AP38" s="31" t="s">
        <v>1231</v>
      </c>
      <c r="AQ38" s="34"/>
      <c r="AR38" s="31"/>
      <c r="AS38" s="34" t="s">
        <v>60</v>
      </c>
      <c r="AT38" s="31"/>
      <c r="AU38" s="34"/>
      <c r="AV38" s="31"/>
      <c r="AW38" s="34"/>
      <c r="AX38" s="31"/>
      <c r="AY38" s="34" t="s">
        <v>374</v>
      </c>
      <c r="AZ38" s="31"/>
      <c r="BA38" s="34" t="s">
        <v>351</v>
      </c>
      <c r="BB38" s="31" t="s">
        <v>388</v>
      </c>
      <c r="BC38" s="34"/>
      <c r="BD38" s="31"/>
      <c r="BE38" s="34" t="s">
        <v>1215</v>
      </c>
      <c r="BF38" s="31"/>
      <c r="BG38" s="34"/>
      <c r="BH38" s="31" t="s">
        <v>850</v>
      </c>
      <c r="BI38" s="34"/>
      <c r="BJ38" s="31" t="s">
        <v>321</v>
      </c>
      <c r="BK38" s="34"/>
      <c r="BL38" s="31"/>
      <c r="BM38" s="34"/>
      <c r="BN38" s="31"/>
      <c r="BO38" s="34"/>
      <c r="BP38" s="31" t="s">
        <v>917</v>
      </c>
      <c r="BQ38" s="34" t="s">
        <v>391</v>
      </c>
      <c r="BR38" s="31" t="s">
        <v>190</v>
      </c>
      <c r="BS38" s="34" t="s">
        <v>872</v>
      </c>
      <c r="BT38" s="31"/>
      <c r="BU38" s="34"/>
      <c r="BV38" s="31"/>
      <c r="BW38" s="34" t="s">
        <v>532</v>
      </c>
      <c r="BX38" s="31" t="s">
        <v>280</v>
      </c>
      <c r="BY38" s="34" t="s">
        <v>211</v>
      </c>
      <c r="BZ38" s="31" t="s">
        <v>896</v>
      </c>
      <c r="CA38" s="34" t="s">
        <v>853</v>
      </c>
      <c r="CB38" s="31"/>
      <c r="CC38" s="34" t="s">
        <v>537</v>
      </c>
      <c r="CD38" s="31"/>
      <c r="CE38" s="34" t="s">
        <v>275</v>
      </c>
      <c r="CF38" s="31" t="s">
        <v>253</v>
      </c>
      <c r="CG38" s="34" t="s">
        <v>327</v>
      </c>
      <c r="CH38" s="31"/>
      <c r="CI38" s="34"/>
      <c r="CJ38" s="31"/>
      <c r="CK38" s="34" t="s">
        <v>930</v>
      </c>
      <c r="CL38" s="31" t="s">
        <v>417</v>
      </c>
      <c r="CM38" s="34"/>
      <c r="CN38" s="31" t="s">
        <v>487</v>
      </c>
      <c r="CO38" s="34"/>
      <c r="CP38" s="31" t="s">
        <v>296</v>
      </c>
      <c r="CQ38" s="34"/>
      <c r="CR38" s="31"/>
      <c r="CS38" s="34" t="s">
        <v>892</v>
      </c>
      <c r="CT38" s="31"/>
      <c r="CU38" s="34" t="s">
        <v>99</v>
      </c>
      <c r="CV38" s="31" t="s">
        <v>852</v>
      </c>
      <c r="CW38" s="34"/>
      <c r="CX38" s="31"/>
      <c r="CY38" s="34" t="s">
        <v>873</v>
      </c>
      <c r="CZ38" s="31"/>
      <c r="DA38" s="34" t="s">
        <v>485</v>
      </c>
      <c r="DB38" s="31"/>
      <c r="DC38" s="34" t="s">
        <v>920</v>
      </c>
      <c r="DD38" s="31"/>
      <c r="DE38" s="34" t="s">
        <v>134</v>
      </c>
      <c r="DF38" s="31"/>
      <c r="DG38" s="34"/>
      <c r="DH38" s="31"/>
      <c r="DI38" s="34"/>
      <c r="DJ38" s="31" t="s">
        <v>272</v>
      </c>
      <c r="DK38" s="34" t="s">
        <v>52</v>
      </c>
      <c r="DL38" s="31" t="s">
        <v>428</v>
      </c>
      <c r="DM38" s="34"/>
      <c r="DN38" s="31"/>
      <c r="DO38" s="34"/>
      <c r="DP38" s="31"/>
      <c r="DQ38" s="34" t="s">
        <v>879</v>
      </c>
      <c r="DR38" s="31"/>
      <c r="DS38" s="34" t="s">
        <v>75</v>
      </c>
      <c r="DT38" s="31"/>
      <c r="DU38" s="34" t="s">
        <v>267</v>
      </c>
      <c r="DV38" s="31" t="s">
        <v>109</v>
      </c>
      <c r="DW38" s="34" t="s">
        <v>895</v>
      </c>
      <c r="DX38" s="31"/>
      <c r="DY38" s="34"/>
      <c r="DZ38" s="31" t="s">
        <v>125</v>
      </c>
      <c r="EA38" s="34" t="s">
        <v>595</v>
      </c>
      <c r="EB38" s="31"/>
      <c r="EC38" s="34" t="s">
        <v>1425</v>
      </c>
      <c r="ED38" s="31"/>
      <c r="EE38" s="34" t="s">
        <v>83</v>
      </c>
      <c r="EF38" s="31"/>
      <c r="EG38" s="34"/>
      <c r="EH38" s="31"/>
      <c r="EI38" s="34"/>
      <c r="EJ38" s="31"/>
      <c r="EK38" s="34" t="s">
        <v>535</v>
      </c>
      <c r="EL38" s="31"/>
      <c r="EM38" s="34" t="s">
        <v>145</v>
      </c>
      <c r="EN38" s="31"/>
      <c r="EO38" s="34"/>
      <c r="EP38" s="31"/>
      <c r="EQ38" s="34"/>
      <c r="ER38" s="31"/>
      <c r="ES38" s="34" t="s">
        <v>935</v>
      </c>
      <c r="ET38" s="31"/>
      <c r="EU38" s="34" t="s">
        <v>264</v>
      </c>
      <c r="EV38" s="31"/>
      <c r="EW38" s="34"/>
      <c r="EX38" s="31" t="s">
        <v>903</v>
      </c>
      <c r="EY38" s="34" t="s">
        <v>559</v>
      </c>
      <c r="EZ38" s="31" t="s">
        <v>156</v>
      </c>
      <c r="FA38" s="34"/>
      <c r="FB38" s="31"/>
      <c r="FC38" s="34"/>
      <c r="FD38" s="31" t="s">
        <v>484</v>
      </c>
      <c r="FE38" s="34"/>
      <c r="FF38" s="31"/>
      <c r="FG38" s="34"/>
      <c r="FH38" s="31"/>
      <c r="FI38" s="34" t="s">
        <v>354</v>
      </c>
      <c r="FJ38" s="31"/>
      <c r="FK38" s="34" t="s">
        <v>341</v>
      </c>
      <c r="FL38" s="31"/>
      <c r="FM38" s="34"/>
      <c r="FN38" s="31" t="s">
        <v>465</v>
      </c>
      <c r="FO38" s="34" t="s">
        <v>394</v>
      </c>
      <c r="FP38" s="31" t="s">
        <v>890</v>
      </c>
      <c r="FQ38" s="34"/>
      <c r="FR38" s="31" t="s">
        <v>405</v>
      </c>
      <c r="FS38" s="39"/>
      <c r="FT38" s="39"/>
      <c r="FU38" s="34" t="s">
        <v>630</v>
      </c>
      <c r="FV38" s="31"/>
      <c r="FW38" s="34"/>
      <c r="FX38" s="31"/>
      <c r="FY38" s="34"/>
      <c r="FZ38" s="31" t="s">
        <v>933</v>
      </c>
      <c r="GA38" s="34" t="s">
        <v>874</v>
      </c>
      <c r="GB38" s="31"/>
      <c r="GC38" s="34"/>
      <c r="GD38" s="31"/>
      <c r="GE38" s="34"/>
      <c r="GF38" s="31"/>
      <c r="GG38" s="34"/>
      <c r="GH38" s="31"/>
      <c r="GI38" s="34" t="s">
        <v>454</v>
      </c>
      <c r="GJ38" s="31" t="s">
        <v>905</v>
      </c>
      <c r="GK38" s="34"/>
      <c r="GL38" s="31" t="s">
        <v>106</v>
      </c>
      <c r="GM38" s="34" t="s">
        <v>501</v>
      </c>
      <c r="GN38" s="31" t="s">
        <v>891</v>
      </c>
      <c r="GO38" s="34"/>
      <c r="GP38" s="31"/>
      <c r="GQ38" s="34" t="s">
        <v>244</v>
      </c>
      <c r="GR38" s="31"/>
      <c r="GS38" s="34" t="s">
        <v>862</v>
      </c>
      <c r="GT38" s="31" t="s">
        <v>476</v>
      </c>
      <c r="GU38" s="34"/>
      <c r="GV38" s="31"/>
      <c r="GW38" s="34"/>
      <c r="GX38" s="31"/>
      <c r="GY38" s="34"/>
      <c r="GZ38" s="31"/>
      <c r="HA38" s="34" t="s">
        <v>582</v>
      </c>
      <c r="HB38" s="31"/>
      <c r="HC38" s="34" t="s">
        <v>129</v>
      </c>
      <c r="HD38" s="30" t="s">
        <v>102</v>
      </c>
      <c r="HE38" s="34" t="s">
        <v>901</v>
      </c>
      <c r="HF38" s="31"/>
      <c r="HG38" s="34"/>
      <c r="HH38" s="31"/>
      <c r="HI38" s="34"/>
      <c r="HJ38" s="31"/>
      <c r="HK38" s="34"/>
      <c r="HL38" s="31" t="s">
        <v>444</v>
      </c>
      <c r="HM38" s="34" t="s">
        <v>887</v>
      </c>
      <c r="HN38" s="31" t="s">
        <v>572</v>
      </c>
      <c r="HO38" s="34" t="s">
        <v>523</v>
      </c>
      <c r="HP38" s="31"/>
      <c r="HQ38" s="34"/>
      <c r="HR38" s="31"/>
      <c r="HS38" s="34" t="s">
        <v>195</v>
      </c>
      <c r="HT38" s="31"/>
      <c r="HU38" s="34"/>
      <c r="HV38" s="31" t="s">
        <v>370</v>
      </c>
      <c r="HW38" s="34"/>
      <c r="HX38" s="39" t="s">
        <v>163</v>
      </c>
      <c r="HY38" s="39" t="s">
        <v>877</v>
      </c>
      <c r="HZ38" s="31"/>
      <c r="IA38" s="34"/>
      <c r="IB38" s="31" t="s">
        <v>952</v>
      </c>
      <c r="IC38" s="34" t="s">
        <v>856</v>
      </c>
      <c r="ID38" s="31"/>
      <c r="IE38" s="34" t="s">
        <v>1227</v>
      </c>
      <c r="IF38" s="31"/>
      <c r="IG38" s="34"/>
      <c r="IH38" s="31"/>
      <c r="II38" s="34"/>
      <c r="IJ38" s="31" t="s">
        <v>460</v>
      </c>
      <c r="IK38" s="34" t="s">
        <v>937</v>
      </c>
      <c r="IL38" s="31"/>
      <c r="IM38" s="34" t="s">
        <v>175</v>
      </c>
      <c r="IN38" s="31"/>
      <c r="IO38" s="34"/>
      <c r="IP38" s="31" t="s">
        <v>45</v>
      </c>
      <c r="IQ38" s="34" t="s">
        <v>301</v>
      </c>
      <c r="IR38" s="31"/>
      <c r="IS38" s="34"/>
      <c r="IT38" s="31"/>
      <c r="IU38" s="34"/>
      <c r="IV38" s="31"/>
      <c r="IW38" s="34"/>
      <c r="IX38" s="31" t="s">
        <v>344</v>
      </c>
      <c r="IY38" s="34" t="s">
        <v>902</v>
      </c>
      <c r="IZ38" s="31"/>
      <c r="JA38" s="34" t="s">
        <v>871</v>
      </c>
      <c r="JB38" s="36"/>
    </row>
    <row r="39" spans="1:262" ht="30" customHeight="1" x14ac:dyDescent="0.25">
      <c r="A39" s="27" t="s">
        <v>1266</v>
      </c>
      <c r="B39" s="48" t="str">
        <f t="shared" si="1"/>
        <v>1st Choice Development
Advanced Alternative Energy Solutions
Albion Power Company
Alpha Energy Management, Inc.
Ambrose Construction Inc
Ameresco Solar
Apollo Home Performance
Blue Planet Water and Power Company
Bright Future Solar Energy
Bright Power
California Solar Integrators, Inc.
California State Development
Centrica Business Solutions
Clean Factor Energy
Clean Solar
Climate Solar Solution
Climatec
Cobalt Power Systems, Inc.
Corona Solar
DC Solar Electric, Inc
Earthwise Energy Solutions
EDF Renewables Distributed Solutions
Enable Energy, Inc.
Enel X North America
Energy Independence Group
Energy Innovative Solutions LLC
Engie Services US
Fairfax Solar
ForeFront Power
Freevolt
Fresco Solar
Gold Rush Energy Solutions
Golden Bear Solar, Inc.
Golden State Power
Green Water and Power
Green Wolf Energy
GRID Alternatives
GS Homes
Horizon Solar Power
Ilum Solar
Infinity Energy Inc
J&amp;J Electric DBA Vital Energy Solutions, LLC
Kota Construction
Kuubix Energy, Inc.
LA Solar Group
Laibach Solar
LLUMETEC
Mack Electric/Gardner Energy
NRG Clean Power
Occidel Power Solar and Cogen
Pac Solar Corporation
Pacific Rim ConstructioRAM SOLAR
PacificWest Energy Solutions, Inc.
Promise Energy Inc
REC Solar
Sage Energy Consulting
Sarter Construction &amp; Design, Inc / Off the Grid Design / Sol Lux Alpha
Skytech Solar
Solar Gain West LLC
Solar Optimum Inc
Solar Pros Inc.
Spreck Energy
Stem, Inc.
Stronghold Engineering
Sun Light &amp; Power
Sunce Energy Solutions, Inc.
Sunnova Energy
SunPower Corporation
Sunterra Solar Inc
Sunworks
Swell Energy
Symmetric Energy / Solar Winds Energy
Synergy Power
Trinity Power
Urban Energy Inc
Vivint Solar
West Coast Solar
Westhaven Inc.
Xero Solar
Your Energy Solutions
Your Energy Source (YES)</v>
      </c>
      <c r="C39" s="29" t="s">
        <v>857</v>
      </c>
      <c r="D39" s="31"/>
      <c r="E39" s="34"/>
      <c r="F39" s="31"/>
      <c r="G39" s="34"/>
      <c r="H39" s="31" t="s">
        <v>71</v>
      </c>
      <c r="I39" s="34"/>
      <c r="J39" s="31"/>
      <c r="K39" s="34" t="s">
        <v>458</v>
      </c>
      <c r="L39" s="31"/>
      <c r="M39" s="34"/>
      <c r="N39" s="30" t="s">
        <v>1295</v>
      </c>
      <c r="O39" s="34"/>
      <c r="P39" s="31"/>
      <c r="Q39" s="34"/>
      <c r="R39" s="31"/>
      <c r="S39" s="34" t="s">
        <v>87</v>
      </c>
      <c r="T39" s="31" t="s">
        <v>427</v>
      </c>
      <c r="U39" s="34" t="s">
        <v>915</v>
      </c>
      <c r="V39" s="31"/>
      <c r="W39" s="34"/>
      <c r="X39" s="31"/>
      <c r="Y39" s="34"/>
      <c r="Z39" s="31"/>
      <c r="AA39" s="34"/>
      <c r="AB39" s="31"/>
      <c r="AC39" s="34"/>
      <c r="AD39" s="31"/>
      <c r="AE39" s="34" t="s">
        <v>943</v>
      </c>
      <c r="AF39" s="31"/>
      <c r="AG39" s="34" t="s">
        <v>928</v>
      </c>
      <c r="AH39" s="31"/>
      <c r="AI39" s="34" t="s">
        <v>202</v>
      </c>
      <c r="AJ39" s="31"/>
      <c r="AK39" s="34"/>
      <c r="AL39" s="31"/>
      <c r="AM39" s="34"/>
      <c r="AN39" s="31"/>
      <c r="AO39" s="34" t="s">
        <v>497</v>
      </c>
      <c r="AP39" s="31" t="s">
        <v>1231</v>
      </c>
      <c r="AQ39" s="34"/>
      <c r="AR39" s="31"/>
      <c r="AS39" s="34" t="s">
        <v>60</v>
      </c>
      <c r="AT39" s="31"/>
      <c r="AU39" s="34"/>
      <c r="AV39" s="31"/>
      <c r="AW39" s="34" t="s">
        <v>865</v>
      </c>
      <c r="AX39" s="31" t="s">
        <v>451</v>
      </c>
      <c r="AY39" s="34"/>
      <c r="AZ39" s="31" t="s">
        <v>397</v>
      </c>
      <c r="BA39" s="34" t="s">
        <v>351</v>
      </c>
      <c r="BB39" s="31"/>
      <c r="BC39" s="34"/>
      <c r="BD39" s="31" t="s">
        <v>304</v>
      </c>
      <c r="BE39" s="34"/>
      <c r="BF39" s="31"/>
      <c r="BG39" s="34" t="s">
        <v>911</v>
      </c>
      <c r="BH39" s="31"/>
      <c r="BI39" s="34"/>
      <c r="BJ39" s="31" t="s">
        <v>321</v>
      </c>
      <c r="BK39" s="34"/>
      <c r="BL39" s="31"/>
      <c r="BM39" s="34"/>
      <c r="BN39" s="31" t="s">
        <v>258</v>
      </c>
      <c r="BO39" s="34"/>
      <c r="BP39" s="31"/>
      <c r="BQ39" s="34" t="s">
        <v>391</v>
      </c>
      <c r="BR39" s="31"/>
      <c r="BS39" s="34"/>
      <c r="BT39" s="31"/>
      <c r="BU39" s="34"/>
      <c r="BV39" s="31" t="s">
        <v>330</v>
      </c>
      <c r="BW39" s="34" t="s">
        <v>532</v>
      </c>
      <c r="BX39" s="31" t="s">
        <v>280</v>
      </c>
      <c r="BY39" s="34" t="s">
        <v>211</v>
      </c>
      <c r="BZ39" s="31"/>
      <c r="CA39" s="34" t="s">
        <v>853</v>
      </c>
      <c r="CB39" s="31" t="s">
        <v>1216</v>
      </c>
      <c r="CC39" s="34"/>
      <c r="CD39" s="31"/>
      <c r="CE39" s="34" t="s">
        <v>275</v>
      </c>
      <c r="CF39" s="31" t="s">
        <v>253</v>
      </c>
      <c r="CG39" s="34"/>
      <c r="CH39" s="31" t="s">
        <v>929</v>
      </c>
      <c r="CI39" s="34"/>
      <c r="CJ39" s="31"/>
      <c r="CK39" s="34"/>
      <c r="CL39" s="31"/>
      <c r="CM39" s="34"/>
      <c r="CN39" s="31" t="s">
        <v>487</v>
      </c>
      <c r="CO39" s="34" t="s">
        <v>307</v>
      </c>
      <c r="CP39" s="31" t="s">
        <v>296</v>
      </c>
      <c r="CQ39" s="34"/>
      <c r="CR39" s="31"/>
      <c r="CS39" s="34" t="s">
        <v>892</v>
      </c>
      <c r="CT39" s="31" t="s">
        <v>494</v>
      </c>
      <c r="CU39" s="34" t="s">
        <v>99</v>
      </c>
      <c r="CV39" s="31" t="s">
        <v>852</v>
      </c>
      <c r="CW39" s="34"/>
      <c r="CX39" s="31"/>
      <c r="CY39" s="34"/>
      <c r="CZ39" s="31"/>
      <c r="DA39" s="34"/>
      <c r="DB39" s="31"/>
      <c r="DC39" s="34"/>
      <c r="DD39" s="31"/>
      <c r="DE39" s="34" t="s">
        <v>134</v>
      </c>
      <c r="DF39" s="31"/>
      <c r="DG39" s="34"/>
      <c r="DH39" s="31"/>
      <c r="DI39" s="34"/>
      <c r="DJ39" s="31" t="s">
        <v>272</v>
      </c>
      <c r="DK39" s="34"/>
      <c r="DL39" s="31" t="s">
        <v>428</v>
      </c>
      <c r="DM39" s="34"/>
      <c r="DN39" s="31"/>
      <c r="DO39" s="34" t="s">
        <v>234</v>
      </c>
      <c r="DP39" s="31"/>
      <c r="DQ39" s="34"/>
      <c r="DR39" s="31"/>
      <c r="DS39" s="34"/>
      <c r="DT39" s="31"/>
      <c r="DU39" s="34" t="s">
        <v>267</v>
      </c>
      <c r="DV39" s="31" t="s">
        <v>109</v>
      </c>
      <c r="DW39" s="34" t="s">
        <v>895</v>
      </c>
      <c r="DX39" s="31" t="s">
        <v>932</v>
      </c>
      <c r="DY39" s="34"/>
      <c r="DZ39" s="31"/>
      <c r="EA39" s="34" t="s">
        <v>595</v>
      </c>
      <c r="EB39" s="31"/>
      <c r="EC39" s="34"/>
      <c r="ED39" s="31"/>
      <c r="EE39" s="34" t="s">
        <v>83</v>
      </c>
      <c r="EF39" s="31"/>
      <c r="EG39" s="34"/>
      <c r="EH39" s="31"/>
      <c r="EI39" s="34"/>
      <c r="EJ39" s="31"/>
      <c r="EK39" s="34"/>
      <c r="EL39" s="31"/>
      <c r="EM39" s="34"/>
      <c r="EN39" s="31"/>
      <c r="EO39" s="34"/>
      <c r="EP39" s="31"/>
      <c r="EQ39" s="34"/>
      <c r="ER39" s="31"/>
      <c r="ES39" s="34" t="s">
        <v>935</v>
      </c>
      <c r="ET39" s="31" t="s">
        <v>1036</v>
      </c>
      <c r="EU39" s="34"/>
      <c r="EV39" s="31" t="s">
        <v>286</v>
      </c>
      <c r="EW39" s="34" t="s">
        <v>983</v>
      </c>
      <c r="EX39" s="31"/>
      <c r="EY39" s="34" t="s">
        <v>559</v>
      </c>
      <c r="EZ39" s="31"/>
      <c r="FA39" s="34"/>
      <c r="FB39" s="31"/>
      <c r="FC39" s="34"/>
      <c r="FD39" s="31" t="s">
        <v>484</v>
      </c>
      <c r="FE39" s="34"/>
      <c r="FF39" s="31"/>
      <c r="FG39" s="34"/>
      <c r="FH39" s="31"/>
      <c r="FI39" s="34" t="s">
        <v>354</v>
      </c>
      <c r="FJ39" s="31"/>
      <c r="FK39" s="34"/>
      <c r="FL39" s="31"/>
      <c r="FM39" s="34"/>
      <c r="FN39" s="31" t="s">
        <v>465</v>
      </c>
      <c r="FO39" s="34"/>
      <c r="FP39" s="31"/>
      <c r="FQ39" s="34" t="s">
        <v>171</v>
      </c>
      <c r="FR39" s="31"/>
      <c r="FS39" s="39"/>
      <c r="FT39" s="39"/>
      <c r="FU39" s="34"/>
      <c r="FV39" s="31"/>
      <c r="FW39" s="34"/>
      <c r="FX39" s="31"/>
      <c r="FY39" s="34"/>
      <c r="FZ39" s="31"/>
      <c r="GA39" s="34"/>
      <c r="GB39" s="31"/>
      <c r="GC39" s="34"/>
      <c r="GD39" s="31" t="s">
        <v>64</v>
      </c>
      <c r="GE39" s="34"/>
      <c r="GF39" s="31"/>
      <c r="GG39" s="34"/>
      <c r="GH39" s="31"/>
      <c r="GI39" s="34" t="s">
        <v>454</v>
      </c>
      <c r="GJ39" s="31"/>
      <c r="GK39" s="34"/>
      <c r="GL39" s="31" t="s">
        <v>106</v>
      </c>
      <c r="GM39" s="34" t="s">
        <v>501</v>
      </c>
      <c r="GN39" s="31"/>
      <c r="GO39" s="34"/>
      <c r="GP39" s="31"/>
      <c r="GQ39" s="34"/>
      <c r="GR39" s="31"/>
      <c r="GS39" s="34"/>
      <c r="GT39" s="31"/>
      <c r="GU39" s="34"/>
      <c r="GV39" s="31"/>
      <c r="GW39" s="34"/>
      <c r="GX39" s="31"/>
      <c r="GY39" s="34"/>
      <c r="GZ39" s="31" t="s">
        <v>894</v>
      </c>
      <c r="HA39" s="34"/>
      <c r="HB39" s="31"/>
      <c r="HC39" s="34"/>
      <c r="HD39" s="30" t="s">
        <v>102</v>
      </c>
      <c r="HE39" s="34" t="s">
        <v>901</v>
      </c>
      <c r="HF39" s="31" t="s">
        <v>337</v>
      </c>
      <c r="HG39" s="34"/>
      <c r="HH39" s="31"/>
      <c r="HI39" s="34"/>
      <c r="HJ39" s="31" t="s">
        <v>1055</v>
      </c>
      <c r="HK39" s="34"/>
      <c r="HL39" s="31"/>
      <c r="HM39" s="34"/>
      <c r="HN39" s="31"/>
      <c r="HO39" s="34" t="s">
        <v>523</v>
      </c>
      <c r="HP39" s="31"/>
      <c r="HQ39" s="34"/>
      <c r="HR39" s="31"/>
      <c r="HS39" s="34" t="s">
        <v>195</v>
      </c>
      <c r="HT39" s="31"/>
      <c r="HU39" s="34"/>
      <c r="HV39" s="31"/>
      <c r="HW39" s="34"/>
      <c r="HX39" s="39" t="s">
        <v>163</v>
      </c>
      <c r="HY39" s="39" t="s">
        <v>877</v>
      </c>
      <c r="HZ39" s="31"/>
      <c r="IA39" s="34"/>
      <c r="IB39" s="31"/>
      <c r="IC39" s="34" t="s">
        <v>856</v>
      </c>
      <c r="ID39" s="31" t="s">
        <v>118</v>
      </c>
      <c r="IE39" s="34"/>
      <c r="IF39" s="31" t="s">
        <v>513</v>
      </c>
      <c r="IG39" s="34"/>
      <c r="IH39" s="31"/>
      <c r="II39" s="34"/>
      <c r="IJ39" s="31"/>
      <c r="IK39" s="34" t="s">
        <v>937</v>
      </c>
      <c r="IL39" s="31" t="s">
        <v>80</v>
      </c>
      <c r="IM39" s="34"/>
      <c r="IN39" s="31"/>
      <c r="IO39" s="34"/>
      <c r="IP39" s="31" t="s">
        <v>45</v>
      </c>
      <c r="IQ39" s="34"/>
      <c r="IR39" s="31"/>
      <c r="IS39" s="34"/>
      <c r="IT39" s="31" t="s">
        <v>855</v>
      </c>
      <c r="IU39" s="34"/>
      <c r="IV39" s="31" t="s">
        <v>315</v>
      </c>
      <c r="IW39" s="34"/>
      <c r="IX39" s="31" t="s">
        <v>344</v>
      </c>
      <c r="IY39" s="34"/>
      <c r="IZ39" s="31" t="s">
        <v>944</v>
      </c>
      <c r="JA39" s="34" t="s">
        <v>871</v>
      </c>
      <c r="JB39" s="36"/>
    </row>
    <row r="40" spans="1:262" ht="30" customHeight="1" x14ac:dyDescent="0.25">
      <c r="A40" s="26" t="s">
        <v>1267</v>
      </c>
      <c r="B40" s="48" t="str">
        <f t="shared" si="1"/>
        <v>1st Choice Development
ACR Solar
Alpha Energy Management, Inc.
AltSys Solar Incorporated
Ameresco Solar
Apollo Home Performance
Aztec Solar Inc.
Baker Electric
Blue Planet Water and Power Company
Bright Power
CalCom Energy
California Solar Integrators, Inc.
California State Development
Centrica Business Solutions
Chico Electric
Citadel Roofing &amp; Solar
Climatec
Communication Infrastructure Corporation (CIC)
Cool Earth Solar
DC Solar Electric, Inc
DEL SOL NRG, INC.
EDF Renewables Distributed Solutions
Enable Energy, Inc.
Enel X North America
Energy Independence Group
Energy Innovative Solutions LLC
Engie Services US
ForeFront Power
Freevolt
Future Energy Corporation
Gold Rush Energy Solutions
Golden State Power
Green Water and Power
GRID Alternatives
GS Homes
Horizon Solar Power
Huffman Solar
I Love My Solar
Ilum Solar
Infinity Energy Inc
Kota Construction
Kuubix Energy, Inc.
LA Solar Group
LLUMETEC
Mack Electric/Gardner Energy
North State Solar Energy Construction
NRG Clean Power
Pacific Rim ConstructioRAM SOLAR
Promise Energy Inc
Quality Home Services
REC Solar
Revel Energy
Sage Energy Consulting
Semper Solaris
Sierra Pacific
SIG Solar
Solar Gain West LLC
Solar Pros Inc.
Solar Savings Direct
Solar Symphony Construction Inc
SolarWinds Energy
SolTek Industries Inc.
Spreck Energy
Stem, Inc.
Stronghold Engineering
Sun Light &amp; Power
Sun River Solar
Sunnova Energy
SunPower by Quality Home Services
SunPower Corporation
SunStor
Sunterra Solar Inc
Sunworks
Swell Energy
Synergy Power
Trinity Power
V3 Electric Inc
Vivint Solar
West Coast Solar
Your Energy Source (YES)</v>
      </c>
      <c r="C40" s="29" t="s">
        <v>857</v>
      </c>
      <c r="D40" s="31"/>
      <c r="E40" s="34"/>
      <c r="F40" s="31"/>
      <c r="G40" s="34" t="s">
        <v>866</v>
      </c>
      <c r="H40" s="31"/>
      <c r="I40" s="34"/>
      <c r="J40" s="31"/>
      <c r="K40" s="34"/>
      <c r="L40" s="31"/>
      <c r="M40" s="34"/>
      <c r="N40" s="30" t="s">
        <v>1295</v>
      </c>
      <c r="O40" s="34"/>
      <c r="P40" s="31"/>
      <c r="Q40" s="34" t="s">
        <v>881</v>
      </c>
      <c r="R40" s="31"/>
      <c r="S40" s="34"/>
      <c r="T40" s="31" t="s">
        <v>427</v>
      </c>
      <c r="U40" s="34" t="s">
        <v>915</v>
      </c>
      <c r="V40" s="31"/>
      <c r="W40" s="34"/>
      <c r="X40" s="31" t="s">
        <v>401</v>
      </c>
      <c r="Y40" s="34"/>
      <c r="Z40" s="31" t="s">
        <v>883</v>
      </c>
      <c r="AA40" s="34"/>
      <c r="AB40" s="31"/>
      <c r="AC40" s="34"/>
      <c r="AD40" s="31"/>
      <c r="AE40" s="34" t="s">
        <v>943</v>
      </c>
      <c r="AF40" s="31"/>
      <c r="AG40" s="34"/>
      <c r="AH40" s="31"/>
      <c r="AI40" s="34" t="s">
        <v>202</v>
      </c>
      <c r="AJ40" s="31"/>
      <c r="AK40" s="34"/>
      <c r="AL40" s="31" t="s">
        <v>217</v>
      </c>
      <c r="AM40" s="34"/>
      <c r="AN40" s="31"/>
      <c r="AO40" s="34" t="s">
        <v>497</v>
      </c>
      <c r="AP40" s="31" t="s">
        <v>1231</v>
      </c>
      <c r="AQ40" s="34"/>
      <c r="AR40" s="31"/>
      <c r="AS40" s="34" t="s">
        <v>60</v>
      </c>
      <c r="AT40" s="31" t="s">
        <v>205</v>
      </c>
      <c r="AU40" s="34"/>
      <c r="AV40" s="31" t="s">
        <v>199</v>
      </c>
      <c r="AW40" s="34"/>
      <c r="AX40" s="31"/>
      <c r="AY40" s="34"/>
      <c r="AZ40" s="31"/>
      <c r="BA40" s="34" t="s">
        <v>351</v>
      </c>
      <c r="BB40" s="31"/>
      <c r="BC40" s="34"/>
      <c r="BD40" s="31"/>
      <c r="BE40" s="34" t="s">
        <v>1215</v>
      </c>
      <c r="BF40" s="31" t="s">
        <v>529</v>
      </c>
      <c r="BG40" s="34"/>
      <c r="BH40" s="31"/>
      <c r="BI40" s="34"/>
      <c r="BJ40" s="31" t="s">
        <v>321</v>
      </c>
      <c r="BK40" s="34" t="s">
        <v>148</v>
      </c>
      <c r="BL40" s="31"/>
      <c r="BM40" s="34"/>
      <c r="BN40" s="31"/>
      <c r="BO40" s="34"/>
      <c r="BP40" s="31"/>
      <c r="BQ40" s="34" t="s">
        <v>391</v>
      </c>
      <c r="BR40" s="31"/>
      <c r="BS40" s="34"/>
      <c r="BT40" s="31"/>
      <c r="BU40" s="34"/>
      <c r="BV40" s="31" t="s">
        <v>330</v>
      </c>
      <c r="BW40" s="34" t="s">
        <v>532</v>
      </c>
      <c r="BX40" s="31" t="s">
        <v>280</v>
      </c>
      <c r="BY40" s="34" t="s">
        <v>211</v>
      </c>
      <c r="BZ40" s="31"/>
      <c r="CA40" s="34" t="s">
        <v>853</v>
      </c>
      <c r="CB40" s="31"/>
      <c r="CC40" s="34"/>
      <c r="CD40" s="31"/>
      <c r="CE40" s="34" t="s">
        <v>275</v>
      </c>
      <c r="CF40" s="31" t="s">
        <v>253</v>
      </c>
      <c r="CG40" s="34"/>
      <c r="CH40" s="31"/>
      <c r="CI40" s="34"/>
      <c r="CJ40" s="31" t="s">
        <v>323</v>
      </c>
      <c r="CK40" s="34"/>
      <c r="CL40" s="31"/>
      <c r="CM40" s="34"/>
      <c r="CN40" s="31" t="s">
        <v>487</v>
      </c>
      <c r="CO40" s="34"/>
      <c r="CP40" s="31" t="s">
        <v>296</v>
      </c>
      <c r="CQ40" s="34"/>
      <c r="CR40" s="31"/>
      <c r="CS40" s="34" t="s">
        <v>892</v>
      </c>
      <c r="CT40" s="31"/>
      <c r="CU40" s="34" t="s">
        <v>99</v>
      </c>
      <c r="CV40" s="31" t="s">
        <v>852</v>
      </c>
      <c r="CW40" s="34"/>
      <c r="CX40" s="31"/>
      <c r="CY40" s="34"/>
      <c r="CZ40" s="31"/>
      <c r="DA40" s="34"/>
      <c r="DB40" s="31"/>
      <c r="DC40" s="34"/>
      <c r="DD40" s="31"/>
      <c r="DE40" s="34" t="s">
        <v>134</v>
      </c>
      <c r="DF40" s="31"/>
      <c r="DG40" s="34"/>
      <c r="DH40" s="31" t="s">
        <v>220</v>
      </c>
      <c r="DI40" s="34" t="s">
        <v>858</v>
      </c>
      <c r="DJ40" s="31" t="s">
        <v>272</v>
      </c>
      <c r="DK40" s="34"/>
      <c r="DL40" s="31" t="s">
        <v>428</v>
      </c>
      <c r="DM40" s="34"/>
      <c r="DN40" s="31"/>
      <c r="DO40" s="34"/>
      <c r="DP40" s="31"/>
      <c r="DQ40" s="34"/>
      <c r="DR40" s="31"/>
      <c r="DS40" s="34"/>
      <c r="DT40" s="31"/>
      <c r="DU40" s="34" t="s">
        <v>267</v>
      </c>
      <c r="DV40" s="31" t="s">
        <v>109</v>
      </c>
      <c r="DW40" s="34" t="s">
        <v>895</v>
      </c>
      <c r="DX40" s="31"/>
      <c r="DY40" s="34"/>
      <c r="DZ40" s="31"/>
      <c r="EA40" s="34" t="s">
        <v>595</v>
      </c>
      <c r="EB40" s="31"/>
      <c r="EC40" s="34"/>
      <c r="ED40" s="31"/>
      <c r="EE40" s="34" t="s">
        <v>83</v>
      </c>
      <c r="EF40" s="31"/>
      <c r="EG40" s="34"/>
      <c r="EH40" s="31"/>
      <c r="EI40" s="34"/>
      <c r="EJ40" s="31"/>
      <c r="EK40" s="34"/>
      <c r="EL40" s="31"/>
      <c r="EM40" s="34"/>
      <c r="EN40" s="31"/>
      <c r="EO40" s="34"/>
      <c r="EP40" s="31"/>
      <c r="EQ40" s="34" t="s">
        <v>363</v>
      </c>
      <c r="ER40" s="31"/>
      <c r="ES40" s="34" t="s">
        <v>935</v>
      </c>
      <c r="ET40" s="31"/>
      <c r="EU40" s="34"/>
      <c r="EV40" s="31"/>
      <c r="EW40" s="34" t="s">
        <v>983</v>
      </c>
      <c r="EX40" s="31"/>
      <c r="EY40" s="34"/>
      <c r="EZ40" s="31"/>
      <c r="FA40" s="34"/>
      <c r="FB40" s="31"/>
      <c r="FC40" s="34"/>
      <c r="FD40" s="31" t="s">
        <v>484</v>
      </c>
      <c r="FE40" s="34"/>
      <c r="FF40" s="31" t="s">
        <v>439</v>
      </c>
      <c r="FG40" s="34"/>
      <c r="FH40" s="31"/>
      <c r="FI40" s="34" t="s">
        <v>354</v>
      </c>
      <c r="FJ40" s="31"/>
      <c r="FK40" s="34" t="s">
        <v>341</v>
      </c>
      <c r="FL40" s="31"/>
      <c r="FM40" s="34"/>
      <c r="FN40" s="31" t="s">
        <v>465</v>
      </c>
      <c r="FO40" s="34"/>
      <c r="FP40" s="31"/>
      <c r="FQ40" s="34"/>
      <c r="FR40" s="31"/>
      <c r="FS40" s="39"/>
      <c r="FT40" s="39"/>
      <c r="FU40" s="34" t="s">
        <v>630</v>
      </c>
      <c r="FV40" s="31"/>
      <c r="FW40" s="34" t="s">
        <v>886</v>
      </c>
      <c r="FX40" s="31" t="s">
        <v>934</v>
      </c>
      <c r="FY40" s="34"/>
      <c r="FZ40" s="31"/>
      <c r="GA40" s="34"/>
      <c r="GB40" s="31"/>
      <c r="GC40" s="34"/>
      <c r="GD40" s="31"/>
      <c r="GE40" s="34"/>
      <c r="GF40" s="31"/>
      <c r="GG40" s="34"/>
      <c r="GH40" s="31"/>
      <c r="GI40" s="34" t="s">
        <v>454</v>
      </c>
      <c r="GJ40" s="31"/>
      <c r="GK40" s="34"/>
      <c r="GL40" s="31"/>
      <c r="GM40" s="34" t="s">
        <v>501</v>
      </c>
      <c r="GN40" s="31"/>
      <c r="GO40" s="34" t="s">
        <v>96</v>
      </c>
      <c r="GP40" s="31"/>
      <c r="GQ40" s="34" t="s">
        <v>244</v>
      </c>
      <c r="GR40" s="31"/>
      <c r="GS40" s="34"/>
      <c r="GT40" s="31"/>
      <c r="GU40" s="34"/>
      <c r="GV40" s="31"/>
      <c r="GW40" s="34" t="s">
        <v>227</v>
      </c>
      <c r="GX40" s="31" t="s">
        <v>950</v>
      </c>
      <c r="GY40" s="34"/>
      <c r="GZ40" s="31" t="s">
        <v>894</v>
      </c>
      <c r="HA40" s="34"/>
      <c r="HB40" s="31"/>
      <c r="HC40" s="34"/>
      <c r="HD40" s="30" t="s">
        <v>102</v>
      </c>
      <c r="HE40" s="34" t="s">
        <v>901</v>
      </c>
      <c r="HF40" s="31" t="s">
        <v>337</v>
      </c>
      <c r="HG40" s="34"/>
      <c r="HH40" s="31" t="s">
        <v>297</v>
      </c>
      <c r="HI40" s="34"/>
      <c r="HJ40" s="31"/>
      <c r="HK40" s="34"/>
      <c r="HL40" s="31"/>
      <c r="HM40" s="34"/>
      <c r="HN40" s="31"/>
      <c r="HO40" s="34" t="s">
        <v>523</v>
      </c>
      <c r="HP40" s="31"/>
      <c r="HQ40" s="34"/>
      <c r="HR40" s="31" t="s">
        <v>1302</v>
      </c>
      <c r="HS40" s="34" t="s">
        <v>195</v>
      </c>
      <c r="HT40" s="31"/>
      <c r="HU40" s="34" t="s">
        <v>183</v>
      </c>
      <c r="HV40" s="31"/>
      <c r="HW40" s="34"/>
      <c r="HX40" s="39" t="s">
        <v>163</v>
      </c>
      <c r="HY40" s="39" t="s">
        <v>877</v>
      </c>
      <c r="HZ40" s="31"/>
      <c r="IA40" s="34"/>
      <c r="IB40" s="31"/>
      <c r="IC40" s="34" t="s">
        <v>856</v>
      </c>
      <c r="ID40" s="31"/>
      <c r="IE40" s="34"/>
      <c r="IF40" s="31" t="s">
        <v>513</v>
      </c>
      <c r="IG40" s="34"/>
      <c r="IH40" s="31"/>
      <c r="II40" s="34"/>
      <c r="IJ40" s="31"/>
      <c r="IK40" s="34" t="s">
        <v>937</v>
      </c>
      <c r="IL40" s="31"/>
      <c r="IM40" s="34" t="s">
        <v>175</v>
      </c>
      <c r="IN40" s="31"/>
      <c r="IO40" s="34"/>
      <c r="IP40" s="31" t="s">
        <v>45</v>
      </c>
      <c r="IQ40" s="34"/>
      <c r="IR40" s="31"/>
      <c r="IS40" s="34"/>
      <c r="IT40" s="31" t="s">
        <v>855</v>
      </c>
      <c r="IU40" s="34"/>
      <c r="IV40" s="31"/>
      <c r="IW40" s="34"/>
      <c r="IX40" s="31"/>
      <c r="IY40" s="34"/>
      <c r="IZ40" s="31"/>
      <c r="JA40" s="34" t="s">
        <v>871</v>
      </c>
      <c r="JB40" s="36"/>
    </row>
    <row r="41" spans="1:262" ht="30" customHeight="1" x14ac:dyDescent="0.25">
      <c r="A41" s="27" t="s">
        <v>1269</v>
      </c>
      <c r="B41" s="48" t="str">
        <f t="shared" si="1"/>
        <v>1st Choice Development
3fficient
A-1 Contractors Inc. dba A-1 Electric
Alpha Energy Management, Inc.
AltSys Solar Incorporated
Ameresco Solar
Apollo Home Performance
Baker Electric
Blue Planet Water and Power Company
Bright Future Solar Energy
Bright Power
CalCom Energy
California Solar Integrators, Inc.
California State Development
CalSun Electric and Solar Systems, Inc.
Centrica Business Solutions
Citadel Roofing &amp; Solar
Climatec
Communication Infrastructure Corporation (CIC)
DC Solar Electric, Inc
EDF Renewables Distributed Solutions
Enel X North America
Energy Independence Group
Engie Services US
ForeFront Power
Freevolt
Gold Rush Energy Solutions
Golden State Power
Green Water and Power
GRID Alternatives
GS Homes
Horizon Solar Power
Ilum Solar
Infinity Energy Inc
Klein Power Electric
Kota Construction
Kuubix Energy, Inc.
LA Solar Group
LLUMETEC
Mack Electric/Gardner Energy
NRG Clean Power
Pacific Rim ConstructioRAM SOLAR
Photon Brothers
Promise Energy Inc
Quality Home Services
REC Solar
Revel Energy
Sage Energy Consulting
Sarter Construction &amp; Design, Inc / Off the Grid Design / Sol Lux Alpha
Solar Forward
Solar Gain West LLC
Solar Optimum Inc
Solar Pros Inc.
Solar Spectrom
Solar Symphony Construction Inc
Solarponics, Inc.
SolTek Industries Inc.
Spreck Energy
Stem, Inc.
Stronghold Engineering
Sun, Wind, and Fire Alternative Energy Solutions
Sungenix Energy Solutions
Sunnova Energy
SunPower Corporation
Sunterra Solar Inc
Sunworks
Sustineo
Swell Energy
Trinity Power
V3 Electric Inc
Vivint Solar
Xero Solar</v>
      </c>
      <c r="C41" s="29" t="s">
        <v>857</v>
      </c>
      <c r="D41" s="30" t="s">
        <v>863</v>
      </c>
      <c r="E41" s="33" t="s">
        <v>240</v>
      </c>
      <c r="F41" s="31"/>
      <c r="G41" s="34"/>
      <c r="H41" s="31"/>
      <c r="I41" s="34"/>
      <c r="J41" s="31"/>
      <c r="K41" s="34"/>
      <c r="L41" s="31"/>
      <c r="M41" s="34"/>
      <c r="N41" s="30" t="s">
        <v>1295</v>
      </c>
      <c r="O41" s="34"/>
      <c r="P41" s="31"/>
      <c r="Q41" s="34" t="s">
        <v>881</v>
      </c>
      <c r="R41" s="31"/>
      <c r="S41" s="34"/>
      <c r="T41" s="31" t="s">
        <v>427</v>
      </c>
      <c r="U41" s="34" t="s">
        <v>915</v>
      </c>
      <c r="V41" s="31"/>
      <c r="W41" s="34"/>
      <c r="X41" s="31"/>
      <c r="Y41" s="34"/>
      <c r="Z41" s="31" t="s">
        <v>883</v>
      </c>
      <c r="AA41" s="34"/>
      <c r="AB41" s="31"/>
      <c r="AC41" s="34"/>
      <c r="AD41" s="31"/>
      <c r="AE41" s="34" t="s">
        <v>943</v>
      </c>
      <c r="AF41" s="31"/>
      <c r="AG41" s="34" t="s">
        <v>928</v>
      </c>
      <c r="AH41" s="31"/>
      <c r="AI41" s="34" t="s">
        <v>202</v>
      </c>
      <c r="AJ41" s="31"/>
      <c r="AK41" s="34"/>
      <c r="AL41" s="31" t="s">
        <v>217</v>
      </c>
      <c r="AM41" s="34"/>
      <c r="AN41" s="31"/>
      <c r="AO41" s="34" t="s">
        <v>497</v>
      </c>
      <c r="AP41" s="31" t="s">
        <v>1231</v>
      </c>
      <c r="AQ41" s="34" t="s">
        <v>926</v>
      </c>
      <c r="AR41" s="31"/>
      <c r="AS41" s="34" t="s">
        <v>60</v>
      </c>
      <c r="AT41" s="31"/>
      <c r="AU41" s="34"/>
      <c r="AV41" s="31" t="s">
        <v>199</v>
      </c>
      <c r="AW41" s="34"/>
      <c r="AX41" s="31"/>
      <c r="AY41" s="34"/>
      <c r="AZ41" s="31"/>
      <c r="BA41" s="34" t="s">
        <v>351</v>
      </c>
      <c r="BB41" s="31"/>
      <c r="BC41" s="34"/>
      <c r="BD41" s="31"/>
      <c r="BE41" s="34" t="s">
        <v>1215</v>
      </c>
      <c r="BF41" s="31"/>
      <c r="BG41" s="34"/>
      <c r="BH41" s="31"/>
      <c r="BI41" s="34"/>
      <c r="BJ41" s="31" t="s">
        <v>321</v>
      </c>
      <c r="BK41" s="34"/>
      <c r="BL41" s="31"/>
      <c r="BM41" s="34"/>
      <c r="BN41" s="31"/>
      <c r="BO41" s="34"/>
      <c r="BP41" s="31"/>
      <c r="BQ41" s="34" t="s">
        <v>391</v>
      </c>
      <c r="BR41" s="31"/>
      <c r="BS41" s="34"/>
      <c r="BT41" s="31"/>
      <c r="BU41" s="34"/>
      <c r="BV41" s="31"/>
      <c r="BW41" s="34" t="s">
        <v>532</v>
      </c>
      <c r="BX41" s="31" t="s">
        <v>280</v>
      </c>
      <c r="BY41" s="34"/>
      <c r="BZ41" s="31"/>
      <c r="CA41" s="34" t="s">
        <v>853</v>
      </c>
      <c r="CB41" s="31"/>
      <c r="CC41" s="34"/>
      <c r="CD41" s="31"/>
      <c r="CE41" s="34" t="s">
        <v>275</v>
      </c>
      <c r="CF41" s="31" t="s">
        <v>253</v>
      </c>
      <c r="CG41" s="34"/>
      <c r="CH41" s="31"/>
      <c r="CI41" s="34"/>
      <c r="CJ41" s="31"/>
      <c r="CK41" s="34"/>
      <c r="CL41" s="31"/>
      <c r="CM41" s="34"/>
      <c r="CN41" s="31" t="s">
        <v>487</v>
      </c>
      <c r="CO41" s="34"/>
      <c r="CP41" s="31" t="s">
        <v>296</v>
      </c>
      <c r="CQ41" s="34"/>
      <c r="CR41" s="31"/>
      <c r="CS41" s="34" t="s">
        <v>892</v>
      </c>
      <c r="CT41" s="31"/>
      <c r="CU41" s="34" t="s">
        <v>99</v>
      </c>
      <c r="CV41" s="31" t="s">
        <v>852</v>
      </c>
      <c r="CW41" s="34"/>
      <c r="CX41" s="31"/>
      <c r="CY41" s="34"/>
      <c r="CZ41" s="31"/>
      <c r="DA41" s="34"/>
      <c r="DB41" s="31"/>
      <c r="DC41" s="34"/>
      <c r="DD41" s="31"/>
      <c r="DE41" s="34" t="s">
        <v>134</v>
      </c>
      <c r="DF41" s="31"/>
      <c r="DG41" s="34"/>
      <c r="DH41" s="31"/>
      <c r="DI41" s="34"/>
      <c r="DJ41" s="31" t="s">
        <v>272</v>
      </c>
      <c r="DK41" s="34"/>
      <c r="DL41" s="31" t="s">
        <v>428</v>
      </c>
      <c r="DM41" s="34"/>
      <c r="DN41" s="31"/>
      <c r="DO41" s="34"/>
      <c r="DP41" s="31"/>
      <c r="DQ41" s="34"/>
      <c r="DR41" s="31"/>
      <c r="DS41" s="34"/>
      <c r="DT41" s="31" t="s">
        <v>41</v>
      </c>
      <c r="DU41" s="34" t="s">
        <v>267</v>
      </c>
      <c r="DV41" s="31" t="s">
        <v>109</v>
      </c>
      <c r="DW41" s="34" t="s">
        <v>895</v>
      </c>
      <c r="DX41" s="31"/>
      <c r="DY41" s="34"/>
      <c r="DZ41" s="31"/>
      <c r="EA41" s="34" t="s">
        <v>595</v>
      </c>
      <c r="EB41" s="31"/>
      <c r="EC41" s="34"/>
      <c r="ED41" s="31"/>
      <c r="EE41" s="34" t="s">
        <v>83</v>
      </c>
      <c r="EF41" s="31"/>
      <c r="EG41" s="34"/>
      <c r="EH41" s="31"/>
      <c r="EI41" s="34"/>
      <c r="EJ41" s="31"/>
      <c r="EK41" s="34"/>
      <c r="EL41" s="31"/>
      <c r="EM41" s="34"/>
      <c r="EN41" s="31"/>
      <c r="EO41" s="34"/>
      <c r="EP41" s="31"/>
      <c r="EQ41" s="34"/>
      <c r="ER41" s="31"/>
      <c r="ES41" s="34" t="s">
        <v>935</v>
      </c>
      <c r="ET41" s="31"/>
      <c r="EU41" s="34"/>
      <c r="EV41" s="31"/>
      <c r="EW41" s="34" t="s">
        <v>983</v>
      </c>
      <c r="EX41" s="31"/>
      <c r="EY41" s="34"/>
      <c r="EZ41" s="31"/>
      <c r="FA41" s="34"/>
      <c r="FB41" s="31" t="s">
        <v>921</v>
      </c>
      <c r="FC41" s="34"/>
      <c r="FD41" s="31" t="s">
        <v>484</v>
      </c>
      <c r="FE41" s="34"/>
      <c r="FF41" s="31" t="s">
        <v>439</v>
      </c>
      <c r="FG41" s="34"/>
      <c r="FH41" s="31"/>
      <c r="FI41" s="34" t="s">
        <v>354</v>
      </c>
      <c r="FJ41" s="31"/>
      <c r="FK41" s="34" t="s">
        <v>341</v>
      </c>
      <c r="FL41" s="31"/>
      <c r="FM41" s="34"/>
      <c r="FN41" s="31" t="s">
        <v>465</v>
      </c>
      <c r="FO41" s="34"/>
      <c r="FP41" s="31"/>
      <c r="FQ41" s="34" t="s">
        <v>171</v>
      </c>
      <c r="FR41" s="31"/>
      <c r="FS41" s="39"/>
      <c r="FT41" s="39"/>
      <c r="FU41" s="34"/>
      <c r="FV41" s="31"/>
      <c r="FW41" s="34"/>
      <c r="FX41" s="31"/>
      <c r="FY41" s="34"/>
      <c r="FZ41" s="31"/>
      <c r="GA41" s="34"/>
      <c r="GB41" s="31"/>
      <c r="GC41" s="34"/>
      <c r="GD41" s="31"/>
      <c r="GE41" s="34"/>
      <c r="GF41" s="31"/>
      <c r="GG41" s="34"/>
      <c r="GH41" s="31" t="s">
        <v>897</v>
      </c>
      <c r="GI41" s="34" t="s">
        <v>454</v>
      </c>
      <c r="GJ41" s="31"/>
      <c r="GK41" s="34"/>
      <c r="GL41" s="31" t="s">
        <v>106</v>
      </c>
      <c r="GM41" s="34" t="s">
        <v>501</v>
      </c>
      <c r="GN41" s="31"/>
      <c r="GO41" s="34"/>
      <c r="GP41" s="31" t="s">
        <v>861</v>
      </c>
      <c r="GQ41" s="34" t="s">
        <v>244</v>
      </c>
      <c r="GR41" s="31"/>
      <c r="GS41" s="34"/>
      <c r="GT41" s="31"/>
      <c r="GU41" s="34"/>
      <c r="GV41" s="31" t="s">
        <v>420</v>
      </c>
      <c r="GW41" s="34"/>
      <c r="GX41" s="31" t="s">
        <v>950</v>
      </c>
      <c r="GY41" s="34"/>
      <c r="GZ41" s="31" t="s">
        <v>894</v>
      </c>
      <c r="HA41" s="34"/>
      <c r="HB41" s="31"/>
      <c r="HC41" s="34"/>
      <c r="HD41" s="30" t="s">
        <v>102</v>
      </c>
      <c r="HE41" s="34" t="s">
        <v>901</v>
      </c>
      <c r="HF41" s="31"/>
      <c r="HG41" s="34"/>
      <c r="HH41" s="31"/>
      <c r="HI41" s="34" t="s">
        <v>919</v>
      </c>
      <c r="HJ41" s="31"/>
      <c r="HK41" s="34" t="s">
        <v>77</v>
      </c>
      <c r="HL41" s="31"/>
      <c r="HM41" s="34"/>
      <c r="HN41" s="31"/>
      <c r="HO41" s="34" t="s">
        <v>523</v>
      </c>
      <c r="HP41" s="31"/>
      <c r="HQ41" s="34"/>
      <c r="HR41" s="31"/>
      <c r="HS41" s="34" t="s">
        <v>195</v>
      </c>
      <c r="HT41" s="31"/>
      <c r="HU41" s="34"/>
      <c r="HV41" s="31"/>
      <c r="HW41" s="34"/>
      <c r="HX41" s="39" t="s">
        <v>163</v>
      </c>
      <c r="HY41" s="39" t="s">
        <v>877</v>
      </c>
      <c r="HZ41" s="31"/>
      <c r="IA41" s="34"/>
      <c r="IB41" s="31" t="s">
        <v>952</v>
      </c>
      <c r="IC41" s="34" t="s">
        <v>856</v>
      </c>
      <c r="ID41" s="31"/>
      <c r="IE41" s="34"/>
      <c r="IF41" s="31"/>
      <c r="IG41" s="34"/>
      <c r="IH41" s="31"/>
      <c r="II41" s="34"/>
      <c r="IJ41" s="31"/>
      <c r="IK41" s="34" t="s">
        <v>937</v>
      </c>
      <c r="IL41" s="31"/>
      <c r="IM41" s="34" t="s">
        <v>175</v>
      </c>
      <c r="IN41" s="31"/>
      <c r="IO41" s="34"/>
      <c r="IP41" s="31" t="s">
        <v>45</v>
      </c>
      <c r="IQ41" s="34"/>
      <c r="IR41" s="31"/>
      <c r="IS41" s="34"/>
      <c r="IT41" s="31"/>
      <c r="IU41" s="34"/>
      <c r="IV41" s="31"/>
      <c r="IW41" s="34"/>
      <c r="IX41" s="31" t="s">
        <v>344</v>
      </c>
      <c r="IY41" s="34"/>
      <c r="IZ41" s="31"/>
      <c r="JA41" s="34"/>
      <c r="JB41" s="36"/>
    </row>
    <row r="42" spans="1:262" ht="30" customHeight="1" x14ac:dyDescent="0.25">
      <c r="A42" s="26" t="s">
        <v>1268</v>
      </c>
      <c r="B42" s="48" t="str">
        <f t="shared" si="1"/>
        <v>1st Choice Development
Albion Power Company
Alpha Energy Management, Inc.
Ameresco Solar
Apollo Home Performance
Bright Power
California Solar Integrators, Inc.
California State Development
Centrica Business Solutions
Cinnamon Energy Systems
Clean Factor Energy
Clean Solar
Climatec
Cobalt Power Systems, Inc.
Cool Earth Solar
Day One Solar
DC Solar Electric, Inc
Earth Electric Incorporated
Earthwise Energy Solutions
EDF Renewables Distributed Solutions
Enable Energy, Inc.
Enel X North America
Energy Independence Group
Engie Services US
ForeFront Power
Freevolt
Fresco Solar
Gold Rush Energy Solutions
Golden Bear Solar, Inc.
Green Water and Power
Green Wolf Energy
GRID Alternatives
GS Homes
Highlight Solar, Inc.
Home Networks, Electric &amp; Solar, Inc.
Horizon Solar Power
Huffman Solar
Ilum Solar
Infinity Energy Inc
Infinium Solar, Inc.
J&amp;J Electric DBA Vital Energy Solutions, LLC
Kota Construction
Kuubix Energy, Inc.
LA Solar Group
Laibach Solar
LLUMETEC
Mack Electric/Gardner Energy
NRG Clean Power
Occidel Power Solar and Cogen
Pac Solar Corporation
Pacific Rim ConstructioRAM SOLAR
PacificWest Energy Solutions, Inc.
Promise Energy Inc
REC Solar
Sage Energy Consulting
Sarter Construction &amp; Design, Inc / Off the Grid Design / Sol Lux Alpha
Save a Lot Solar
Semper Solaris
Simmitri, Inc
Skytech Solar
Slingshot Power
Solar Gain West LLC
Solar Optimum Inc
Solar Pros Inc.
Solar Savings Direct
Spreck Energy
Stem, Inc.
Stronghold Engineering
Sun Light &amp; Power
Sungenix Energy Solutions
Sunnova Energy
SunPower by Hooked On Solar
SunPower Corporation
Sunstreet
Sunterra Solar Inc
Sunworks
Sustainable Technologies
Sustineo
Swell Energy
Symmetric Energy / Solar Winds Energy
Synergy Power
Trinity Power
Urban Energy Inc
V3 Electric Inc
Vivint Solar
West Coast Solar
Your Energy Solutions
Your Energy Source (YES)</v>
      </c>
      <c r="C42" s="29" t="s">
        <v>857</v>
      </c>
      <c r="D42" s="31"/>
      <c r="E42" s="34"/>
      <c r="F42" s="31"/>
      <c r="G42" s="34"/>
      <c r="H42" s="31"/>
      <c r="I42" s="34"/>
      <c r="J42" s="31"/>
      <c r="K42" s="34" t="s">
        <v>458</v>
      </c>
      <c r="L42" s="31"/>
      <c r="M42" s="34"/>
      <c r="N42" s="30" t="s">
        <v>1295</v>
      </c>
      <c r="O42" s="34"/>
      <c r="P42" s="31"/>
      <c r="Q42" s="34"/>
      <c r="R42" s="31"/>
      <c r="S42" s="34"/>
      <c r="T42" s="31" t="s">
        <v>427</v>
      </c>
      <c r="U42" s="34" t="s">
        <v>915</v>
      </c>
      <c r="V42" s="31"/>
      <c r="W42" s="34"/>
      <c r="X42" s="31"/>
      <c r="Y42" s="34"/>
      <c r="Z42" s="31"/>
      <c r="AA42" s="34"/>
      <c r="AB42" s="31"/>
      <c r="AC42" s="34"/>
      <c r="AD42" s="31"/>
      <c r="AE42" s="34"/>
      <c r="AF42" s="31"/>
      <c r="AG42" s="34"/>
      <c r="AH42" s="31"/>
      <c r="AI42" s="34" t="s">
        <v>202</v>
      </c>
      <c r="AJ42" s="31"/>
      <c r="AK42" s="34"/>
      <c r="AL42" s="31"/>
      <c r="AM42" s="34"/>
      <c r="AN42" s="31"/>
      <c r="AO42" s="34" t="s">
        <v>497</v>
      </c>
      <c r="AP42" s="31" t="s">
        <v>1231</v>
      </c>
      <c r="AQ42" s="34"/>
      <c r="AR42" s="31"/>
      <c r="AS42" s="34" t="s">
        <v>60</v>
      </c>
      <c r="AT42" s="31"/>
      <c r="AU42" s="34" t="s">
        <v>1230</v>
      </c>
      <c r="AV42" s="31"/>
      <c r="AW42" s="34" t="s">
        <v>865</v>
      </c>
      <c r="AX42" s="31" t="s">
        <v>451</v>
      </c>
      <c r="AY42" s="34"/>
      <c r="AZ42" s="31"/>
      <c r="BA42" s="34" t="s">
        <v>351</v>
      </c>
      <c r="BB42" s="31"/>
      <c r="BC42" s="34"/>
      <c r="BD42" s="31" t="s">
        <v>304</v>
      </c>
      <c r="BE42" s="34"/>
      <c r="BF42" s="31" t="s">
        <v>529</v>
      </c>
      <c r="BG42" s="34"/>
      <c r="BH42" s="31"/>
      <c r="BI42" s="33" t="s">
        <v>938</v>
      </c>
      <c r="BJ42" s="31" t="s">
        <v>321</v>
      </c>
      <c r="BK42" s="34"/>
      <c r="BL42" s="31"/>
      <c r="BM42" s="34" t="s">
        <v>67</v>
      </c>
      <c r="BN42" s="31" t="s">
        <v>258</v>
      </c>
      <c r="BO42" s="34"/>
      <c r="BP42" s="31"/>
      <c r="BQ42" s="34" t="s">
        <v>391</v>
      </c>
      <c r="BR42" s="31"/>
      <c r="BS42" s="34"/>
      <c r="BT42" s="31"/>
      <c r="BU42" s="34"/>
      <c r="BV42" s="31" t="s">
        <v>330</v>
      </c>
      <c r="BW42" s="34" t="s">
        <v>532</v>
      </c>
      <c r="BX42" s="31" t="s">
        <v>280</v>
      </c>
      <c r="BY42" s="34"/>
      <c r="BZ42" s="31"/>
      <c r="CA42" s="34" t="s">
        <v>853</v>
      </c>
      <c r="CB42" s="31"/>
      <c r="CC42" s="34"/>
      <c r="CD42" s="31"/>
      <c r="CE42" s="34" t="s">
        <v>275</v>
      </c>
      <c r="CF42" s="31" t="s">
        <v>253</v>
      </c>
      <c r="CG42" s="34"/>
      <c r="CH42" s="31" t="s">
        <v>929</v>
      </c>
      <c r="CI42" s="34"/>
      <c r="CJ42" s="31"/>
      <c r="CK42" s="34"/>
      <c r="CL42" s="31"/>
      <c r="CM42" s="34"/>
      <c r="CN42" s="31" t="s">
        <v>487</v>
      </c>
      <c r="CO42" s="34" t="s">
        <v>307</v>
      </c>
      <c r="CP42" s="31"/>
      <c r="CQ42" s="34"/>
      <c r="CR42" s="31"/>
      <c r="CS42" s="34" t="s">
        <v>892</v>
      </c>
      <c r="CT42" s="31" t="s">
        <v>494</v>
      </c>
      <c r="CU42" s="34" t="s">
        <v>99</v>
      </c>
      <c r="CV42" s="31" t="s">
        <v>852</v>
      </c>
      <c r="CW42" s="34"/>
      <c r="CX42" s="31"/>
      <c r="CY42" s="34"/>
      <c r="CZ42" s="31"/>
      <c r="DA42" s="34"/>
      <c r="DB42" s="31" t="s">
        <v>115</v>
      </c>
      <c r="DC42" s="34"/>
      <c r="DD42" s="31" t="s">
        <v>916</v>
      </c>
      <c r="DE42" s="34" t="s">
        <v>134</v>
      </c>
      <c r="DF42" s="31"/>
      <c r="DG42" s="34"/>
      <c r="DH42" s="31" t="s">
        <v>220</v>
      </c>
      <c r="DI42" s="34"/>
      <c r="DJ42" s="31" t="s">
        <v>272</v>
      </c>
      <c r="DK42" s="34"/>
      <c r="DL42" s="31" t="s">
        <v>428</v>
      </c>
      <c r="DM42" s="34" t="s">
        <v>179</v>
      </c>
      <c r="DN42" s="31"/>
      <c r="DO42" s="34" t="s">
        <v>234</v>
      </c>
      <c r="DP42" s="31"/>
      <c r="DQ42" s="34"/>
      <c r="DR42" s="31"/>
      <c r="DS42" s="34"/>
      <c r="DT42" s="31"/>
      <c r="DU42" s="34" t="s">
        <v>267</v>
      </c>
      <c r="DV42" s="31" t="s">
        <v>109</v>
      </c>
      <c r="DW42" s="34" t="s">
        <v>895</v>
      </c>
      <c r="DX42" s="31" t="s">
        <v>932</v>
      </c>
      <c r="DY42" s="34"/>
      <c r="DZ42" s="31"/>
      <c r="EA42" s="34" t="s">
        <v>595</v>
      </c>
      <c r="EB42" s="31"/>
      <c r="EC42" s="34"/>
      <c r="ED42" s="31"/>
      <c r="EE42" s="34" t="s">
        <v>83</v>
      </c>
      <c r="EF42" s="31"/>
      <c r="EG42" s="34"/>
      <c r="EH42" s="31"/>
      <c r="EI42" s="34"/>
      <c r="EJ42" s="31"/>
      <c r="EK42" s="34"/>
      <c r="EL42" s="31"/>
      <c r="EM42" s="34"/>
      <c r="EN42" s="31"/>
      <c r="EO42" s="34"/>
      <c r="EP42" s="31"/>
      <c r="EQ42" s="34"/>
      <c r="ER42" s="31"/>
      <c r="ES42" s="34" t="s">
        <v>935</v>
      </c>
      <c r="ET42" s="31" t="s">
        <v>1036</v>
      </c>
      <c r="EU42" s="34"/>
      <c r="EV42" s="31" t="s">
        <v>286</v>
      </c>
      <c r="EW42" s="34" t="s">
        <v>983</v>
      </c>
      <c r="EX42" s="31"/>
      <c r="EY42" s="34" t="s">
        <v>559</v>
      </c>
      <c r="EZ42" s="31"/>
      <c r="FA42" s="34"/>
      <c r="FB42" s="31"/>
      <c r="FC42" s="34"/>
      <c r="FD42" s="31" t="s">
        <v>484</v>
      </c>
      <c r="FE42" s="34"/>
      <c r="FF42" s="31"/>
      <c r="FG42" s="34"/>
      <c r="FH42" s="31"/>
      <c r="FI42" s="34" t="s">
        <v>354</v>
      </c>
      <c r="FJ42" s="31"/>
      <c r="FK42" s="34"/>
      <c r="FL42" s="31"/>
      <c r="FM42" s="34"/>
      <c r="FN42" s="31" t="s">
        <v>465</v>
      </c>
      <c r="FO42" s="34"/>
      <c r="FP42" s="31"/>
      <c r="FQ42" s="34" t="s">
        <v>171</v>
      </c>
      <c r="FR42" s="31"/>
      <c r="FS42" s="38" t="s">
        <v>237</v>
      </c>
      <c r="FT42" s="39"/>
      <c r="FU42" s="34" t="s">
        <v>630</v>
      </c>
      <c r="FV42" s="31"/>
      <c r="FW42" s="34"/>
      <c r="FX42" s="31"/>
      <c r="FY42" s="34" t="s">
        <v>562</v>
      </c>
      <c r="FZ42" s="31"/>
      <c r="GA42" s="34"/>
      <c r="GB42" s="31"/>
      <c r="GC42" s="34"/>
      <c r="GD42" s="31" t="s">
        <v>64</v>
      </c>
      <c r="GE42" s="34" t="s">
        <v>91</v>
      </c>
      <c r="GF42" s="31"/>
      <c r="GG42" s="34"/>
      <c r="GH42" s="31"/>
      <c r="GI42" s="34" t="s">
        <v>454</v>
      </c>
      <c r="GJ42" s="31"/>
      <c r="GK42" s="34"/>
      <c r="GL42" s="31" t="s">
        <v>106</v>
      </c>
      <c r="GM42" s="34" t="s">
        <v>501</v>
      </c>
      <c r="GN42" s="31"/>
      <c r="GO42" s="34" t="s">
        <v>96</v>
      </c>
      <c r="GP42" s="31"/>
      <c r="GQ42" s="34"/>
      <c r="GR42" s="31"/>
      <c r="GS42" s="34"/>
      <c r="GT42" s="31"/>
      <c r="GU42" s="34"/>
      <c r="GV42" s="31"/>
      <c r="GW42" s="34"/>
      <c r="GX42" s="31"/>
      <c r="GY42" s="34"/>
      <c r="GZ42" s="31" t="s">
        <v>894</v>
      </c>
      <c r="HA42" s="34"/>
      <c r="HB42" s="31"/>
      <c r="HC42" s="34"/>
      <c r="HD42" s="30" t="s">
        <v>102</v>
      </c>
      <c r="HE42" s="34" t="s">
        <v>901</v>
      </c>
      <c r="HF42" s="31" t="s">
        <v>337</v>
      </c>
      <c r="HG42" s="34"/>
      <c r="HH42" s="31"/>
      <c r="HI42" s="34"/>
      <c r="HJ42" s="31"/>
      <c r="HK42" s="34" t="s">
        <v>77</v>
      </c>
      <c r="HL42" s="31"/>
      <c r="HM42" s="34"/>
      <c r="HN42" s="31"/>
      <c r="HO42" s="34" t="s">
        <v>523</v>
      </c>
      <c r="HP42" s="31"/>
      <c r="HQ42" s="34" t="s">
        <v>1303</v>
      </c>
      <c r="HR42" s="31"/>
      <c r="HS42" s="34" t="s">
        <v>195</v>
      </c>
      <c r="HT42" s="31"/>
      <c r="HU42" s="34"/>
      <c r="HV42" s="31" t="s">
        <v>370</v>
      </c>
      <c r="HW42" s="34"/>
      <c r="HX42" s="39" t="s">
        <v>163</v>
      </c>
      <c r="HY42" s="39" t="s">
        <v>877</v>
      </c>
      <c r="HZ42" s="31"/>
      <c r="IA42" s="34" t="s">
        <v>544</v>
      </c>
      <c r="IB42" s="31" t="s">
        <v>952</v>
      </c>
      <c r="IC42" s="34" t="s">
        <v>856</v>
      </c>
      <c r="ID42" s="31" t="s">
        <v>118</v>
      </c>
      <c r="IE42" s="34"/>
      <c r="IF42" s="31" t="s">
        <v>513</v>
      </c>
      <c r="IG42" s="34"/>
      <c r="IH42" s="31"/>
      <c r="II42" s="34"/>
      <c r="IJ42" s="31"/>
      <c r="IK42" s="34" t="s">
        <v>937</v>
      </c>
      <c r="IL42" s="31" t="s">
        <v>80</v>
      </c>
      <c r="IM42" s="34" t="s">
        <v>175</v>
      </c>
      <c r="IN42" s="31"/>
      <c r="IO42" s="34"/>
      <c r="IP42" s="31" t="s">
        <v>45</v>
      </c>
      <c r="IQ42" s="34"/>
      <c r="IR42" s="31"/>
      <c r="IS42" s="34"/>
      <c r="IT42" s="31" t="s">
        <v>855</v>
      </c>
      <c r="IU42" s="34"/>
      <c r="IV42" s="31"/>
      <c r="IW42" s="34"/>
      <c r="IX42" s="31"/>
      <c r="IY42" s="34"/>
      <c r="IZ42" s="31" t="s">
        <v>944</v>
      </c>
      <c r="JA42" s="34" t="s">
        <v>871</v>
      </c>
      <c r="JB42" s="36"/>
    </row>
    <row r="43" spans="1:262" ht="30" customHeight="1" x14ac:dyDescent="0.25">
      <c r="A43" s="27" t="s">
        <v>1270</v>
      </c>
      <c r="B43" s="48" t="str">
        <f t="shared" si="1"/>
        <v>1st Choice Development
3fficient
A-1 Contractors Inc. dba A-1 Electric
Aeterna Energy
Alpha Energy Management, Inc.
AltSys Solar Incorporated
Ameresco Solar
Apollo Home Performance
Baker Electric
Blue Planet Water and Power Company
Blue Sky Energy
Bright Future Solar Energy
Bright Power
Brighten Solar Company
California Solar Electric
California Solar Integrators, Inc.
California State Development
CalSun Electric and Solar Systems, Inc.
Centrica Business Solutions
Citadel Roofing &amp; Solar
Climatec
Communication Infrastructure Corporation (CIC)
DC Solar Electric, Inc
EDF Renewables Distributed Solutions
Electro Thermal
Enel X North America
Energy Independence Group
Energy Options
Engie Services US
ForeFront Power
Freevolt
Go Green Solar
Gold Rush Energy Solutions
Golden State Power
Green Water and Power
GRID Alternatives
GS Homes
Horizon Solar Power
Ilum Solar
Infinity Energy Inc
Kota Construction
Kuubix Energy, Inc.
LA Solar Group
LLUMETEC
M Kahn Solar Inc. d/b/a Kahn Solar
Mack Electric/Gardner Energy
Mimeos
Neighborhood ACE
NRG Clean Power
Pacific Rim ConstructioRAM SOLAR
PacificWest Energy Solutions, Inc.
Photon Brothers
Plug It In Solar
Promise Energy Inc
Quantum Solar Designs, Inc.
REC Solar
Revel Energy
Sage Energy Consulting
Simply Solar
Solar Gain West LLC
Solar Optimum Inc
Solar Pros Inc.
Solar Spectrom
Solar Symphony Construction Inc
Solarponics, Inc.
Stem, Inc.
Stronghold Engineering
Sun, Wind, and Fire Alternative Energy Solutions
SunGreen Systems
Sunnova Energy
SunPower Corporation
SunRun
Sunterra Solar Inc
Sunworks
Swell Energy
Trinity Power
Vivint Solar
Xero Solar
Xnergy</v>
      </c>
      <c r="C43" s="29" t="s">
        <v>857</v>
      </c>
      <c r="D43" s="30" t="s">
        <v>863</v>
      </c>
      <c r="E43" s="33" t="s">
        <v>240</v>
      </c>
      <c r="F43" s="31"/>
      <c r="G43" s="34"/>
      <c r="H43" s="31"/>
      <c r="I43" s="34" t="s">
        <v>1233</v>
      </c>
      <c r="J43" s="31"/>
      <c r="K43" s="34"/>
      <c r="L43" s="31"/>
      <c r="M43" s="34"/>
      <c r="N43" s="30" t="s">
        <v>1295</v>
      </c>
      <c r="O43" s="34"/>
      <c r="P43" s="31"/>
      <c r="Q43" s="34" t="s">
        <v>881</v>
      </c>
      <c r="R43" s="31"/>
      <c r="S43" s="34"/>
      <c r="T43" s="31" t="s">
        <v>427</v>
      </c>
      <c r="U43" s="34" t="s">
        <v>915</v>
      </c>
      <c r="V43" s="31"/>
      <c r="W43" s="34"/>
      <c r="X43" s="31"/>
      <c r="Y43" s="34"/>
      <c r="Z43" s="31" t="s">
        <v>883</v>
      </c>
      <c r="AA43" s="34"/>
      <c r="AB43" s="31"/>
      <c r="AC43" s="34"/>
      <c r="AD43" s="31"/>
      <c r="AE43" s="34" t="s">
        <v>943</v>
      </c>
      <c r="AF43" s="31" t="s">
        <v>1232</v>
      </c>
      <c r="AG43" s="34" t="s">
        <v>928</v>
      </c>
      <c r="AH43" s="31"/>
      <c r="AI43" s="34" t="s">
        <v>202</v>
      </c>
      <c r="AJ43" s="31" t="s">
        <v>851</v>
      </c>
      <c r="AK43" s="34"/>
      <c r="AL43" s="31"/>
      <c r="AM43" s="34" t="s">
        <v>463</v>
      </c>
      <c r="AN43" s="31"/>
      <c r="AO43" s="34" t="s">
        <v>497</v>
      </c>
      <c r="AP43" s="31" t="s">
        <v>1231</v>
      </c>
      <c r="AQ43" s="34" t="s">
        <v>926</v>
      </c>
      <c r="AR43" s="31"/>
      <c r="AS43" s="34" t="s">
        <v>60</v>
      </c>
      <c r="AT43" s="31"/>
      <c r="AU43" s="34"/>
      <c r="AV43" s="31" t="s">
        <v>199</v>
      </c>
      <c r="AW43" s="34"/>
      <c r="AX43" s="31"/>
      <c r="AY43" s="34"/>
      <c r="AZ43" s="31"/>
      <c r="BA43" s="34" t="s">
        <v>351</v>
      </c>
      <c r="BB43" s="31"/>
      <c r="BC43" s="34"/>
      <c r="BD43" s="31"/>
      <c r="BE43" s="34" t="s">
        <v>1215</v>
      </c>
      <c r="BF43" s="31"/>
      <c r="BG43" s="34"/>
      <c r="BH43" s="31"/>
      <c r="BI43" s="34"/>
      <c r="BJ43" s="31" t="s">
        <v>321</v>
      </c>
      <c r="BK43" s="34"/>
      <c r="BL43" s="31"/>
      <c r="BM43" s="34"/>
      <c r="BN43" s="31"/>
      <c r="BO43" s="34"/>
      <c r="BP43" s="31"/>
      <c r="BQ43" s="34" t="s">
        <v>391</v>
      </c>
      <c r="BR43" s="31"/>
      <c r="BS43" s="34" t="s">
        <v>872</v>
      </c>
      <c r="BT43" s="31"/>
      <c r="BU43" s="34"/>
      <c r="BV43" s="31"/>
      <c r="BW43" s="34" t="s">
        <v>532</v>
      </c>
      <c r="BX43" s="31" t="s">
        <v>280</v>
      </c>
      <c r="BY43" s="34"/>
      <c r="BZ43" s="31" t="s">
        <v>896</v>
      </c>
      <c r="CA43" s="34" t="s">
        <v>853</v>
      </c>
      <c r="CB43" s="31"/>
      <c r="CC43" s="34"/>
      <c r="CD43" s="31"/>
      <c r="CE43" s="34" t="s">
        <v>275</v>
      </c>
      <c r="CF43" s="31" t="s">
        <v>253</v>
      </c>
      <c r="CG43" s="34"/>
      <c r="CH43" s="31"/>
      <c r="CI43" s="34"/>
      <c r="CJ43" s="31"/>
      <c r="CK43" s="34"/>
      <c r="CL43" s="31" t="s">
        <v>417</v>
      </c>
      <c r="CM43" s="34"/>
      <c r="CN43" s="31" t="s">
        <v>487</v>
      </c>
      <c r="CO43" s="34"/>
      <c r="CP43" s="31" t="s">
        <v>296</v>
      </c>
      <c r="CQ43" s="34"/>
      <c r="CR43" s="31"/>
      <c r="CS43" s="34" t="s">
        <v>892</v>
      </c>
      <c r="CT43" s="31"/>
      <c r="CU43" s="34" t="s">
        <v>99</v>
      </c>
      <c r="CV43" s="31" t="s">
        <v>852</v>
      </c>
      <c r="CW43" s="34"/>
      <c r="CX43" s="31"/>
      <c r="CY43" s="34"/>
      <c r="CZ43" s="31"/>
      <c r="DA43" s="34"/>
      <c r="DB43" s="31"/>
      <c r="DC43" s="34"/>
      <c r="DD43" s="31"/>
      <c r="DE43" s="34" t="s">
        <v>134</v>
      </c>
      <c r="DF43" s="31"/>
      <c r="DG43" s="34"/>
      <c r="DH43" s="31"/>
      <c r="DI43" s="34"/>
      <c r="DJ43" s="31" t="s">
        <v>272</v>
      </c>
      <c r="DK43" s="34"/>
      <c r="DL43" s="31" t="s">
        <v>428</v>
      </c>
      <c r="DM43" s="34"/>
      <c r="DN43" s="31"/>
      <c r="DO43" s="34"/>
      <c r="DP43" s="31"/>
      <c r="DQ43" s="34"/>
      <c r="DR43" s="31"/>
      <c r="DS43" s="34"/>
      <c r="DT43" s="31"/>
      <c r="DU43" s="34" t="s">
        <v>267</v>
      </c>
      <c r="DV43" s="31" t="s">
        <v>109</v>
      </c>
      <c r="DW43" s="34" t="s">
        <v>895</v>
      </c>
      <c r="DX43" s="31"/>
      <c r="DY43" s="34"/>
      <c r="DZ43" s="31"/>
      <c r="EA43" s="34" t="s">
        <v>595</v>
      </c>
      <c r="EB43" s="31" t="s">
        <v>448</v>
      </c>
      <c r="EC43" s="34"/>
      <c r="ED43" s="31"/>
      <c r="EE43" s="34" t="s">
        <v>83</v>
      </c>
      <c r="EF43" s="31"/>
      <c r="EG43" s="34"/>
      <c r="EH43" s="31"/>
      <c r="EI43" s="34" t="s">
        <v>900</v>
      </c>
      <c r="EJ43" s="31"/>
      <c r="EK43" s="34"/>
      <c r="EL43" s="31" t="s">
        <v>951</v>
      </c>
      <c r="EM43" s="34"/>
      <c r="EN43" s="31"/>
      <c r="EO43" s="34"/>
      <c r="EP43" s="31"/>
      <c r="EQ43" s="34"/>
      <c r="ER43" s="31"/>
      <c r="ES43" s="34" t="s">
        <v>935</v>
      </c>
      <c r="ET43" s="31"/>
      <c r="EU43" s="34"/>
      <c r="EV43" s="31"/>
      <c r="EW43" s="34" t="s">
        <v>983</v>
      </c>
      <c r="EX43" s="31"/>
      <c r="EY43" s="34" t="s">
        <v>559</v>
      </c>
      <c r="EZ43" s="31"/>
      <c r="FA43" s="34"/>
      <c r="FB43" s="31" t="s">
        <v>921</v>
      </c>
      <c r="FC43" s="34" t="s">
        <v>940</v>
      </c>
      <c r="FD43" s="31" t="s">
        <v>484</v>
      </c>
      <c r="FE43" s="34"/>
      <c r="FF43" s="31"/>
      <c r="FG43" s="34" t="s">
        <v>541</v>
      </c>
      <c r="FH43" s="31"/>
      <c r="FI43" s="34" t="s">
        <v>354</v>
      </c>
      <c r="FJ43" s="31"/>
      <c r="FK43" s="34" t="s">
        <v>341</v>
      </c>
      <c r="FL43" s="31"/>
      <c r="FM43" s="34"/>
      <c r="FN43" s="31" t="s">
        <v>465</v>
      </c>
      <c r="FO43" s="34"/>
      <c r="FP43" s="31"/>
      <c r="FQ43" s="34"/>
      <c r="FR43" s="31"/>
      <c r="FS43" s="39"/>
      <c r="FT43" s="39"/>
      <c r="FU43" s="34"/>
      <c r="FV43" s="31"/>
      <c r="FW43" s="34"/>
      <c r="FX43" s="31"/>
      <c r="FY43" s="34"/>
      <c r="FZ43" s="31" t="s">
        <v>933</v>
      </c>
      <c r="GA43" s="34"/>
      <c r="GB43" s="31"/>
      <c r="GC43" s="34"/>
      <c r="GD43" s="31"/>
      <c r="GE43" s="34"/>
      <c r="GF43" s="31"/>
      <c r="GG43" s="34"/>
      <c r="GH43" s="31"/>
      <c r="GI43" s="34" t="s">
        <v>454</v>
      </c>
      <c r="GJ43" s="31"/>
      <c r="GK43" s="34"/>
      <c r="GL43" s="31" t="s">
        <v>106</v>
      </c>
      <c r="GM43" s="34" t="s">
        <v>501</v>
      </c>
      <c r="GN43" s="31"/>
      <c r="GO43" s="34"/>
      <c r="GP43" s="31" t="s">
        <v>861</v>
      </c>
      <c r="GQ43" s="34" t="s">
        <v>244</v>
      </c>
      <c r="GR43" s="31"/>
      <c r="GS43" s="34"/>
      <c r="GT43" s="31"/>
      <c r="GU43" s="34"/>
      <c r="GV43" s="31" t="s">
        <v>420</v>
      </c>
      <c r="GW43" s="34"/>
      <c r="GX43" s="31"/>
      <c r="GY43" s="34"/>
      <c r="GZ43" s="31"/>
      <c r="HA43" s="34"/>
      <c r="HB43" s="31"/>
      <c r="HC43" s="34"/>
      <c r="HD43" s="30" t="s">
        <v>102</v>
      </c>
      <c r="HE43" s="34" t="s">
        <v>901</v>
      </c>
      <c r="HF43" s="31"/>
      <c r="HG43" s="34"/>
      <c r="HH43" s="31"/>
      <c r="HI43" s="34" t="s">
        <v>919</v>
      </c>
      <c r="HJ43" s="31"/>
      <c r="HK43" s="34"/>
      <c r="HL43" s="31" t="s">
        <v>444</v>
      </c>
      <c r="HM43" s="34"/>
      <c r="HN43" s="31"/>
      <c r="HO43" s="34" t="s">
        <v>523</v>
      </c>
      <c r="HP43" s="31"/>
      <c r="HQ43" s="34"/>
      <c r="HR43" s="31"/>
      <c r="HS43" s="34" t="s">
        <v>195</v>
      </c>
      <c r="HT43" s="31" t="s">
        <v>1234</v>
      </c>
      <c r="HU43" s="34"/>
      <c r="HV43" s="31"/>
      <c r="HW43" s="34"/>
      <c r="HX43" s="39" t="s">
        <v>163</v>
      </c>
      <c r="HY43" s="39" t="s">
        <v>877</v>
      </c>
      <c r="HZ43" s="31"/>
      <c r="IA43" s="34"/>
      <c r="IB43" s="31"/>
      <c r="IC43" s="34" t="s">
        <v>856</v>
      </c>
      <c r="ID43" s="31"/>
      <c r="IE43" s="34"/>
      <c r="IF43" s="31"/>
      <c r="IG43" s="34"/>
      <c r="IH43" s="31"/>
      <c r="II43" s="34"/>
      <c r="IJ43" s="31"/>
      <c r="IK43" s="34" t="s">
        <v>937</v>
      </c>
      <c r="IL43" s="31"/>
      <c r="IM43" s="34"/>
      <c r="IN43" s="31"/>
      <c r="IO43" s="34"/>
      <c r="IP43" s="31" t="s">
        <v>45</v>
      </c>
      <c r="IQ43" s="34"/>
      <c r="IR43" s="31"/>
      <c r="IS43" s="34"/>
      <c r="IT43" s="31"/>
      <c r="IU43" s="34"/>
      <c r="IV43" s="31"/>
      <c r="IW43" s="34"/>
      <c r="IX43" s="31" t="s">
        <v>344</v>
      </c>
      <c r="IY43" s="34" t="s">
        <v>902</v>
      </c>
      <c r="IZ43" s="31"/>
      <c r="JA43" s="34"/>
      <c r="JB43" s="36"/>
    </row>
    <row r="44" spans="1:262" ht="30" customHeight="1" x14ac:dyDescent="0.25">
      <c r="A44" s="26" t="s">
        <v>1271</v>
      </c>
      <c r="B44" s="48" t="str">
        <f t="shared" si="1"/>
        <v>1st Choice Development
Alpha Energy Management, Inc.
Ameresco Solar
Apollo Home Performance
Bright Future Solar Energy
Bright Power
CalCom Energy
California Solar Integrators, Inc.
California State Development
Centrica Business Solutions
Cinnamon Energy Systems
Citadel Roofing &amp; Solar
Clean Factor Energy
Clean Solar
Climatec
Cobalt Power Systems, Inc.
Communication Infrastructure Corporation (CIC)
Cool Earth Solar
Day One Solar
DC Solar Electric, Inc
Earth Electric Incorporated
EDF Renewables Distributed Solutions
Enable Energy, Inc.
Enel X North America
Energy Independence Group
Energy Innovative Solutions LLC
Engie Services US
ForeFront Power
Freevolt
Fresco Solar
Go Microgrid
Gold Rush Energy Solutions
Golden Bear Solar, Inc.
Golden State Power
Golden State Solar
Green Water and Power
Green Wolf Energy
GRID Alternatives
GS Homes
Highlight Solar, Inc.
Home Networks, Electric &amp; Solar, Inc.
Horizon Solar Power
Huffman Solar
Ilum Solar
Infinity Energy Inc
Infinium Solar, Inc.
J&amp;J Electric DBA Vital Energy Solutions, LLC
Kota Construction
Kuubix Energy, Inc.
LA Solar Group
Laibach Solar
LLUMETEC
Mack Electric/Gardner Energy
NRG Clean Power
Occidel Power Solar and Cogen
Pac Solar Corporation
Pacific Rim ConstructioRAM SOLAR
Perrybuilt Construction
Plug It In Solar
Promise Energy Inc
Quality Home Services
REC Solar
Sage Energy Consulting
Sarter Construction &amp; Design, Inc / Off the Grid Design / Sol Lux Alpha
Semper Solaris
Simmitri, Inc
Sky Power Solar
Skytech Solar
Slingshot Power
Solar Gain West LLC
Solar Optimum Inc
Solar Pros Inc.
Solar Savings Direct
SolarWinds Energy
Spreck Energy
Stem, Inc.
Stronghold Engineering
Sun Light &amp; Power
Sungenix Energy Solutions
Sunnova Energy
SunPower by Hooked On Solar
SunPower by Quality Home Services
SunPower Corporation
Sunstreet
Sunterra Solar Inc
Sunworks
Sustainable Technologies
Sustineo
Swell Energy
Synergy Power
Trinity Power
Urban Energy Inc
V3 Electric Inc
Vivint Solar
West Coast Solar
Xero Solar
Your Energy Solutions
Your Energy Source (YES)</v>
      </c>
      <c r="C44" s="29" t="s">
        <v>857</v>
      </c>
      <c r="D44" s="31"/>
      <c r="E44" s="34"/>
      <c r="F44" s="31"/>
      <c r="G44" s="34"/>
      <c r="H44" s="31"/>
      <c r="I44" s="34"/>
      <c r="J44" s="31"/>
      <c r="K44" s="34"/>
      <c r="L44" s="31"/>
      <c r="M44" s="34"/>
      <c r="N44" s="30" t="s">
        <v>1295</v>
      </c>
      <c r="O44" s="34"/>
      <c r="P44" s="31"/>
      <c r="Q44" s="34"/>
      <c r="R44" s="31"/>
      <c r="S44" s="34"/>
      <c r="T44" s="31" t="s">
        <v>427</v>
      </c>
      <c r="U44" s="34" t="s">
        <v>915</v>
      </c>
      <c r="V44" s="31"/>
      <c r="W44" s="34"/>
      <c r="X44" s="31"/>
      <c r="Y44" s="34"/>
      <c r="Z44" s="31"/>
      <c r="AA44" s="34"/>
      <c r="AB44" s="31"/>
      <c r="AC44" s="34"/>
      <c r="AD44" s="31"/>
      <c r="AE44" s="34"/>
      <c r="AF44" s="31"/>
      <c r="AG44" s="34" t="s">
        <v>928</v>
      </c>
      <c r="AH44" s="31"/>
      <c r="AI44" s="34" t="s">
        <v>202</v>
      </c>
      <c r="AJ44" s="31"/>
      <c r="AK44" s="34"/>
      <c r="AL44" s="31" t="s">
        <v>217</v>
      </c>
      <c r="AM44" s="34"/>
      <c r="AN44" s="31"/>
      <c r="AO44" s="34" t="s">
        <v>497</v>
      </c>
      <c r="AP44" s="31" t="s">
        <v>1231</v>
      </c>
      <c r="AQ44" s="34"/>
      <c r="AR44" s="31"/>
      <c r="AS44" s="34" t="s">
        <v>60</v>
      </c>
      <c r="AT44" s="31"/>
      <c r="AU44" s="34" t="s">
        <v>1230</v>
      </c>
      <c r="AV44" s="31" t="s">
        <v>199</v>
      </c>
      <c r="AW44" s="34" t="s">
        <v>865</v>
      </c>
      <c r="AX44" s="31" t="s">
        <v>451</v>
      </c>
      <c r="AY44" s="34"/>
      <c r="AZ44" s="31"/>
      <c r="BA44" s="34" t="s">
        <v>351</v>
      </c>
      <c r="BB44" s="31"/>
      <c r="BC44" s="34"/>
      <c r="BD44" s="31" t="s">
        <v>304</v>
      </c>
      <c r="BE44" s="34" t="s">
        <v>1215</v>
      </c>
      <c r="BF44" s="31" t="s">
        <v>529</v>
      </c>
      <c r="BG44" s="34"/>
      <c r="BH44" s="31"/>
      <c r="BI44" s="33" t="s">
        <v>938</v>
      </c>
      <c r="BJ44" s="31" t="s">
        <v>321</v>
      </c>
      <c r="BK44" s="34"/>
      <c r="BL44" s="31"/>
      <c r="BM44" s="34" t="s">
        <v>67</v>
      </c>
      <c r="BN44" s="31"/>
      <c r="BO44" s="34"/>
      <c r="BP44" s="31"/>
      <c r="BQ44" s="34" t="s">
        <v>391</v>
      </c>
      <c r="BR44" s="31"/>
      <c r="BS44" s="34"/>
      <c r="BT44" s="31"/>
      <c r="BU44" s="34"/>
      <c r="BV44" s="31" t="s">
        <v>330</v>
      </c>
      <c r="BW44" s="34" t="s">
        <v>532</v>
      </c>
      <c r="BX44" s="31" t="s">
        <v>280</v>
      </c>
      <c r="BY44" s="34" t="s">
        <v>211</v>
      </c>
      <c r="BZ44" s="31"/>
      <c r="CA44" s="34" t="s">
        <v>853</v>
      </c>
      <c r="CB44" s="31"/>
      <c r="CC44" s="34"/>
      <c r="CD44" s="31"/>
      <c r="CE44" s="34" t="s">
        <v>275</v>
      </c>
      <c r="CF44" s="31" t="s">
        <v>253</v>
      </c>
      <c r="CG44" s="34"/>
      <c r="CH44" s="31" t="s">
        <v>929</v>
      </c>
      <c r="CI44" s="34"/>
      <c r="CJ44" s="31"/>
      <c r="CK44" s="34"/>
      <c r="CL44" s="31"/>
      <c r="CM44" s="34" t="s">
        <v>519</v>
      </c>
      <c r="CN44" s="31" t="s">
        <v>487</v>
      </c>
      <c r="CO44" s="34" t="s">
        <v>307</v>
      </c>
      <c r="CP44" s="31" t="s">
        <v>296</v>
      </c>
      <c r="CQ44" s="34" t="s">
        <v>945</v>
      </c>
      <c r="CR44" s="31"/>
      <c r="CS44" s="34" t="s">
        <v>892</v>
      </c>
      <c r="CT44" s="31" t="s">
        <v>494</v>
      </c>
      <c r="CU44" s="34" t="s">
        <v>99</v>
      </c>
      <c r="CV44" s="31" t="s">
        <v>852</v>
      </c>
      <c r="CW44" s="34"/>
      <c r="CX44" s="31"/>
      <c r="CY44" s="34"/>
      <c r="CZ44" s="31"/>
      <c r="DA44" s="34"/>
      <c r="DB44" s="31" t="s">
        <v>115</v>
      </c>
      <c r="DC44" s="34"/>
      <c r="DD44" s="31" t="s">
        <v>916</v>
      </c>
      <c r="DE44" s="34" t="s">
        <v>134</v>
      </c>
      <c r="DF44" s="31"/>
      <c r="DG44" s="34"/>
      <c r="DH44" s="31" t="s">
        <v>220</v>
      </c>
      <c r="DI44" s="34"/>
      <c r="DJ44" s="31" t="s">
        <v>272</v>
      </c>
      <c r="DK44" s="34"/>
      <c r="DL44" s="31" t="s">
        <v>428</v>
      </c>
      <c r="DM44" s="34" t="s">
        <v>179</v>
      </c>
      <c r="DN44" s="31"/>
      <c r="DO44" s="34" t="s">
        <v>234</v>
      </c>
      <c r="DP44" s="31"/>
      <c r="DQ44" s="34"/>
      <c r="DR44" s="31"/>
      <c r="DS44" s="34"/>
      <c r="DT44" s="31"/>
      <c r="DU44" s="34" t="s">
        <v>267</v>
      </c>
      <c r="DV44" s="31" t="s">
        <v>109</v>
      </c>
      <c r="DW44" s="34" t="s">
        <v>895</v>
      </c>
      <c r="DX44" s="31" t="s">
        <v>932</v>
      </c>
      <c r="DY44" s="34"/>
      <c r="DZ44" s="31"/>
      <c r="EA44" s="34" t="s">
        <v>595</v>
      </c>
      <c r="EB44" s="31"/>
      <c r="EC44" s="34"/>
      <c r="ED44" s="31"/>
      <c r="EE44" s="34" t="s">
        <v>83</v>
      </c>
      <c r="EF44" s="31"/>
      <c r="EG44" s="34"/>
      <c r="EH44" s="31"/>
      <c r="EI44" s="34"/>
      <c r="EJ44" s="31"/>
      <c r="EK44" s="34"/>
      <c r="EL44" s="31"/>
      <c r="EM44" s="34"/>
      <c r="EN44" s="31"/>
      <c r="EO44" s="34"/>
      <c r="EP44" s="31"/>
      <c r="EQ44" s="34"/>
      <c r="ER44" s="31"/>
      <c r="ES44" s="34" t="s">
        <v>935</v>
      </c>
      <c r="ET44" s="31" t="s">
        <v>1036</v>
      </c>
      <c r="EU44" s="34"/>
      <c r="EV44" s="31" t="s">
        <v>286</v>
      </c>
      <c r="EW44" s="34" t="s">
        <v>983</v>
      </c>
      <c r="EX44" s="31"/>
      <c r="EY44" s="34"/>
      <c r="EZ44" s="31"/>
      <c r="FA44" s="34" t="s">
        <v>910</v>
      </c>
      <c r="FB44" s="31"/>
      <c r="FC44" s="34" t="s">
        <v>940</v>
      </c>
      <c r="FD44" s="31" t="s">
        <v>484</v>
      </c>
      <c r="FE44" s="34"/>
      <c r="FF44" s="31" t="s">
        <v>439</v>
      </c>
      <c r="FG44" s="34"/>
      <c r="FH44" s="31"/>
      <c r="FI44" s="34" t="s">
        <v>354</v>
      </c>
      <c r="FJ44" s="31"/>
      <c r="FK44" s="34"/>
      <c r="FL44" s="31"/>
      <c r="FM44" s="34"/>
      <c r="FN44" s="31" t="s">
        <v>465</v>
      </c>
      <c r="FO44" s="34"/>
      <c r="FP44" s="31"/>
      <c r="FQ44" s="34" t="s">
        <v>171</v>
      </c>
      <c r="FR44" s="31"/>
      <c r="FS44" s="39"/>
      <c r="FT44" s="39"/>
      <c r="FU44" s="34" t="s">
        <v>630</v>
      </c>
      <c r="FV44" s="31"/>
      <c r="FW44" s="34"/>
      <c r="FX44" s="31"/>
      <c r="FY44" s="34" t="s">
        <v>562</v>
      </c>
      <c r="FZ44" s="31"/>
      <c r="GA44" s="34"/>
      <c r="GB44" s="31"/>
      <c r="GC44" s="34" t="s">
        <v>491</v>
      </c>
      <c r="GD44" s="31" t="s">
        <v>64</v>
      </c>
      <c r="GE44" s="34" t="s">
        <v>91</v>
      </c>
      <c r="GF44" s="31"/>
      <c r="GG44" s="34"/>
      <c r="GH44" s="31"/>
      <c r="GI44" s="34" t="s">
        <v>454</v>
      </c>
      <c r="GJ44" s="31"/>
      <c r="GK44" s="34"/>
      <c r="GL44" s="31" t="s">
        <v>106</v>
      </c>
      <c r="GM44" s="34" t="s">
        <v>501</v>
      </c>
      <c r="GN44" s="31"/>
      <c r="GO44" s="34" t="s">
        <v>96</v>
      </c>
      <c r="GP44" s="31"/>
      <c r="GQ44" s="34"/>
      <c r="GR44" s="31"/>
      <c r="GS44" s="34"/>
      <c r="GT44" s="31"/>
      <c r="GU44" s="34"/>
      <c r="GV44" s="31"/>
      <c r="GW44" s="34" t="s">
        <v>227</v>
      </c>
      <c r="GX44" s="31"/>
      <c r="GY44" s="34"/>
      <c r="GZ44" s="31" t="s">
        <v>894</v>
      </c>
      <c r="HA44" s="34"/>
      <c r="HB44" s="31"/>
      <c r="HC44" s="34"/>
      <c r="HD44" s="30" t="s">
        <v>102</v>
      </c>
      <c r="HE44" s="34" t="s">
        <v>901</v>
      </c>
      <c r="HF44" s="31" t="s">
        <v>337</v>
      </c>
      <c r="HG44" s="34"/>
      <c r="HH44" s="31"/>
      <c r="HI44" s="34"/>
      <c r="HJ44" s="31"/>
      <c r="HK44" s="34" t="s">
        <v>77</v>
      </c>
      <c r="HL44" s="31"/>
      <c r="HM44" s="34"/>
      <c r="HN44" s="31"/>
      <c r="HO44" s="34" t="s">
        <v>523</v>
      </c>
      <c r="HP44" s="31"/>
      <c r="HQ44" s="34" t="s">
        <v>1303</v>
      </c>
      <c r="HR44" s="31" t="s">
        <v>1302</v>
      </c>
      <c r="HS44" s="34" t="s">
        <v>195</v>
      </c>
      <c r="HT44" s="31"/>
      <c r="HU44" s="34"/>
      <c r="HV44" s="31" t="s">
        <v>370</v>
      </c>
      <c r="HW44" s="34"/>
      <c r="HX44" s="39" t="s">
        <v>163</v>
      </c>
      <c r="HY44" s="39" t="s">
        <v>877</v>
      </c>
      <c r="HZ44" s="31"/>
      <c r="IA44" s="34" t="s">
        <v>544</v>
      </c>
      <c r="IB44" s="31" t="s">
        <v>952</v>
      </c>
      <c r="IC44" s="34" t="s">
        <v>856</v>
      </c>
      <c r="ID44" s="31"/>
      <c r="IE44" s="34"/>
      <c r="IF44" s="31" t="s">
        <v>513</v>
      </c>
      <c r="IG44" s="34"/>
      <c r="IH44" s="31"/>
      <c r="II44" s="34"/>
      <c r="IJ44" s="31"/>
      <c r="IK44" s="34" t="s">
        <v>937</v>
      </c>
      <c r="IL44" s="31" t="s">
        <v>80</v>
      </c>
      <c r="IM44" s="34" t="s">
        <v>175</v>
      </c>
      <c r="IN44" s="31"/>
      <c r="IO44" s="34"/>
      <c r="IP44" s="31" t="s">
        <v>45</v>
      </c>
      <c r="IQ44" s="34"/>
      <c r="IR44" s="31"/>
      <c r="IS44" s="34"/>
      <c r="IT44" s="31" t="s">
        <v>855</v>
      </c>
      <c r="IU44" s="34"/>
      <c r="IV44" s="31"/>
      <c r="IW44" s="34"/>
      <c r="IX44" s="31" t="s">
        <v>344</v>
      </c>
      <c r="IY44" s="34"/>
      <c r="IZ44" s="31" t="s">
        <v>944</v>
      </c>
      <c r="JA44" s="34" t="s">
        <v>871</v>
      </c>
      <c r="JB44" s="36"/>
    </row>
    <row r="45" spans="1:262" ht="30" customHeight="1" x14ac:dyDescent="0.25">
      <c r="A45" s="27" t="s">
        <v>1272</v>
      </c>
      <c r="B45" s="48" t="str">
        <f t="shared" si="1"/>
        <v>1st Choice Development
Alpha Energy Management, Inc.
Ameresco Solar
Bright Future Solar Energy
Bright Power
California Solar Integrators, Inc.
California State Development
Centrica Business Solutions
Cinnamon Energy Systems
Citadel Roofing &amp; Solar
Clean Solar
Climatec
Cobalt Power Systems, Inc.
Communication Infrastructure Corporation (CIC)
Day One Solar
DC Solar Electric, Inc
Earth Electric Incorporated
EDF Renewables Distributed Solutions
Enable Energy, Inc.
Enel X North America
Energy Independence Group
Energy Innovative Solutions LLC
Engie Services US
ForeFront Power
Freevolt
Fresco Solar
Gold Rush Energy Solutions
Golden Bear Solar, Inc.
Golden State Power
Golden State Solar
Green Water and Power
Green Wolf Energy
GRID Alternatives
GS Homes
Highlight Solar, Inc.
Home Networks, Electric &amp; Solar, Inc.
Horizon Solar Power
Ilum Solar
Infinity Energy Inc
Infinium Solar, Inc.
Klein Power Electric
Kota Construction
Kuubix Energy, Inc.
LA Solar Group
Laibach Solar
LLUMETEC
Mack Electric/Gardner Energy
Mimeos
NRG Clean Power
Pac Solar Corporation
Pacific Rim ConstructioRAM SOLAR
Perrybuilt Construction
Promise Energy Inc
Quality Home Services
REC Solar
Sage Energy Consulting
Sarter Construction &amp; Design, Inc / Off the Grid Design / Sol Lux Alpha
Semper Solaris
Simmitri, Inc
Slingshot Power
Solar Gain West LLC
Solar Optimum Inc
Solar Pros Inc.
Solar Symphony Construction Inc
Spreck Energy
Stem, Inc.
Stronghold Engineering
Sun Light &amp; Power
Sungenix Energy Solutions
Sunnova Energy
SunPower by Quality Home Services
SunPower Corporation
Sunterra Solar Inc
Sunworks
Sustineo
Swell Energy
Synergy Power
Trinity Power
Vivint Solar
W3Solar
Your Energy Solutions
Your Energy Source (YES)</v>
      </c>
      <c r="C45" s="29" t="s">
        <v>857</v>
      </c>
      <c r="D45" s="31"/>
      <c r="E45" s="34"/>
      <c r="F45" s="31"/>
      <c r="G45" s="34"/>
      <c r="H45" s="31"/>
      <c r="I45" s="34"/>
      <c r="J45" s="31"/>
      <c r="K45" s="34"/>
      <c r="L45" s="31"/>
      <c r="M45" s="34"/>
      <c r="N45" s="30" t="s">
        <v>1295</v>
      </c>
      <c r="O45" s="34"/>
      <c r="P45" s="31"/>
      <c r="Q45" s="34"/>
      <c r="R45" s="31"/>
      <c r="S45" s="34"/>
      <c r="T45" s="31" t="s">
        <v>427</v>
      </c>
      <c r="U45" s="34"/>
      <c r="V45" s="31"/>
      <c r="W45" s="34"/>
      <c r="X45" s="31"/>
      <c r="Y45" s="34"/>
      <c r="Z45" s="31"/>
      <c r="AA45" s="34"/>
      <c r="AB45" s="31"/>
      <c r="AC45" s="34"/>
      <c r="AD45" s="31"/>
      <c r="AE45" s="34"/>
      <c r="AF45" s="31"/>
      <c r="AG45" s="34" t="s">
        <v>928</v>
      </c>
      <c r="AH45" s="31"/>
      <c r="AI45" s="34" t="s">
        <v>202</v>
      </c>
      <c r="AJ45" s="31"/>
      <c r="AK45" s="34"/>
      <c r="AL45" s="31"/>
      <c r="AM45" s="34"/>
      <c r="AN45" s="31"/>
      <c r="AO45" s="34" t="s">
        <v>497</v>
      </c>
      <c r="AP45" s="31" t="s">
        <v>1231</v>
      </c>
      <c r="AQ45" s="34"/>
      <c r="AR45" s="31"/>
      <c r="AS45" s="34" t="s">
        <v>60</v>
      </c>
      <c r="AT45" s="31"/>
      <c r="AU45" s="34" t="s">
        <v>1230</v>
      </c>
      <c r="AV45" s="31" t="s">
        <v>199</v>
      </c>
      <c r="AW45" s="34"/>
      <c r="AX45" s="31" t="s">
        <v>451</v>
      </c>
      <c r="AY45" s="34"/>
      <c r="AZ45" s="31"/>
      <c r="BA45" s="34" t="s">
        <v>351</v>
      </c>
      <c r="BB45" s="31"/>
      <c r="BC45" s="34"/>
      <c r="BD45" s="31" t="s">
        <v>304</v>
      </c>
      <c r="BE45" s="34" t="s">
        <v>1215</v>
      </c>
      <c r="BF45" s="31"/>
      <c r="BG45" s="34"/>
      <c r="BH45" s="31"/>
      <c r="BI45" s="33" t="s">
        <v>938</v>
      </c>
      <c r="BJ45" s="31" t="s">
        <v>321</v>
      </c>
      <c r="BK45" s="34"/>
      <c r="BL45" s="31"/>
      <c r="BM45" s="34" t="s">
        <v>67</v>
      </c>
      <c r="BN45" s="31"/>
      <c r="BO45" s="34"/>
      <c r="BP45" s="31"/>
      <c r="BQ45" s="34" t="s">
        <v>391</v>
      </c>
      <c r="BR45" s="31"/>
      <c r="BS45" s="34"/>
      <c r="BT45" s="31"/>
      <c r="BU45" s="34"/>
      <c r="BV45" s="31" t="s">
        <v>330</v>
      </c>
      <c r="BW45" s="34" t="s">
        <v>532</v>
      </c>
      <c r="BX45" s="31" t="s">
        <v>280</v>
      </c>
      <c r="BY45" s="34" t="s">
        <v>211</v>
      </c>
      <c r="BZ45" s="31"/>
      <c r="CA45" s="34" t="s">
        <v>853</v>
      </c>
      <c r="CB45" s="31"/>
      <c r="CC45" s="34"/>
      <c r="CD45" s="31"/>
      <c r="CE45" s="34" t="s">
        <v>275</v>
      </c>
      <c r="CF45" s="31" t="s">
        <v>253</v>
      </c>
      <c r="CG45" s="34"/>
      <c r="CH45" s="31" t="s">
        <v>929</v>
      </c>
      <c r="CI45" s="34"/>
      <c r="CJ45" s="31"/>
      <c r="CK45" s="34"/>
      <c r="CL45" s="31"/>
      <c r="CM45" s="34"/>
      <c r="CN45" s="31" t="s">
        <v>487</v>
      </c>
      <c r="CO45" s="34" t="s">
        <v>307</v>
      </c>
      <c r="CP45" s="31" t="s">
        <v>296</v>
      </c>
      <c r="CQ45" s="34" t="s">
        <v>945</v>
      </c>
      <c r="CR45" s="31"/>
      <c r="CS45" s="34" t="s">
        <v>892</v>
      </c>
      <c r="CT45" s="31" t="s">
        <v>494</v>
      </c>
      <c r="CU45" s="34" t="s">
        <v>99</v>
      </c>
      <c r="CV45" s="31" t="s">
        <v>852</v>
      </c>
      <c r="CW45" s="34"/>
      <c r="CX45" s="31"/>
      <c r="CY45" s="34"/>
      <c r="CZ45" s="31"/>
      <c r="DA45" s="34"/>
      <c r="DB45" s="31" t="s">
        <v>115</v>
      </c>
      <c r="DC45" s="34"/>
      <c r="DD45" s="31" t="s">
        <v>916</v>
      </c>
      <c r="DE45" s="34" t="s">
        <v>134</v>
      </c>
      <c r="DF45" s="31"/>
      <c r="DG45" s="34"/>
      <c r="DH45" s="31"/>
      <c r="DI45" s="34"/>
      <c r="DJ45" s="31" t="s">
        <v>272</v>
      </c>
      <c r="DK45" s="34"/>
      <c r="DL45" s="31" t="s">
        <v>428</v>
      </c>
      <c r="DM45" s="34" t="s">
        <v>179</v>
      </c>
      <c r="DN45" s="31"/>
      <c r="DO45" s="34"/>
      <c r="DP45" s="31"/>
      <c r="DQ45" s="34"/>
      <c r="DR45" s="31"/>
      <c r="DS45" s="34"/>
      <c r="DT45" s="31" t="s">
        <v>41</v>
      </c>
      <c r="DU45" s="34" t="s">
        <v>267</v>
      </c>
      <c r="DV45" s="31" t="s">
        <v>109</v>
      </c>
      <c r="DW45" s="34" t="s">
        <v>895</v>
      </c>
      <c r="DX45" s="31" t="s">
        <v>932</v>
      </c>
      <c r="DY45" s="34"/>
      <c r="DZ45" s="31"/>
      <c r="EA45" s="34" t="s">
        <v>595</v>
      </c>
      <c r="EB45" s="31"/>
      <c r="EC45" s="34"/>
      <c r="ED45" s="31"/>
      <c r="EE45" s="34" t="s">
        <v>83</v>
      </c>
      <c r="EF45" s="31"/>
      <c r="EG45" s="34"/>
      <c r="EH45" s="31"/>
      <c r="EI45" s="34" t="s">
        <v>900</v>
      </c>
      <c r="EJ45" s="31"/>
      <c r="EK45" s="34"/>
      <c r="EL45" s="31"/>
      <c r="EM45" s="34"/>
      <c r="EN45" s="31"/>
      <c r="EO45" s="34"/>
      <c r="EP45" s="31"/>
      <c r="EQ45" s="34"/>
      <c r="ER45" s="31"/>
      <c r="ES45" s="34" t="s">
        <v>935</v>
      </c>
      <c r="ET45" s="31"/>
      <c r="EU45" s="34"/>
      <c r="EV45" s="31" t="s">
        <v>286</v>
      </c>
      <c r="EW45" s="34" t="s">
        <v>983</v>
      </c>
      <c r="EX45" s="31"/>
      <c r="EY45" s="34"/>
      <c r="EZ45" s="31"/>
      <c r="FA45" s="34" t="s">
        <v>910</v>
      </c>
      <c r="FB45" s="31"/>
      <c r="FC45" s="34"/>
      <c r="FD45" s="31" t="s">
        <v>484</v>
      </c>
      <c r="FE45" s="34"/>
      <c r="FF45" s="31" t="s">
        <v>439</v>
      </c>
      <c r="FG45" s="34"/>
      <c r="FH45" s="31"/>
      <c r="FI45" s="34" t="s">
        <v>354</v>
      </c>
      <c r="FJ45" s="31"/>
      <c r="FK45" s="34"/>
      <c r="FL45" s="31"/>
      <c r="FM45" s="34"/>
      <c r="FN45" s="31" t="s">
        <v>465</v>
      </c>
      <c r="FO45" s="34"/>
      <c r="FP45" s="31"/>
      <c r="FQ45" s="34" t="s">
        <v>171</v>
      </c>
      <c r="FR45" s="31"/>
      <c r="FS45" s="39"/>
      <c r="FT45" s="39"/>
      <c r="FU45" s="34" t="s">
        <v>630</v>
      </c>
      <c r="FV45" s="31"/>
      <c r="FW45" s="34"/>
      <c r="FX45" s="31"/>
      <c r="FY45" s="34" t="s">
        <v>562</v>
      </c>
      <c r="FZ45" s="31"/>
      <c r="GA45" s="34"/>
      <c r="GB45" s="31"/>
      <c r="GC45" s="34"/>
      <c r="GD45" s="31"/>
      <c r="GE45" s="34" t="s">
        <v>91</v>
      </c>
      <c r="GF45" s="31"/>
      <c r="GG45" s="34"/>
      <c r="GH45" s="31"/>
      <c r="GI45" s="34" t="s">
        <v>454</v>
      </c>
      <c r="GJ45" s="31"/>
      <c r="GK45" s="34"/>
      <c r="GL45" s="31" t="s">
        <v>106</v>
      </c>
      <c r="GM45" s="34" t="s">
        <v>501</v>
      </c>
      <c r="GN45" s="31"/>
      <c r="GO45" s="34"/>
      <c r="GP45" s="31"/>
      <c r="GQ45" s="34" t="s">
        <v>244</v>
      </c>
      <c r="GR45" s="31"/>
      <c r="GS45" s="34"/>
      <c r="GT45" s="31"/>
      <c r="GU45" s="34"/>
      <c r="GV45" s="31"/>
      <c r="GW45" s="34"/>
      <c r="GX45" s="31"/>
      <c r="GY45" s="34"/>
      <c r="GZ45" s="31" t="s">
        <v>894</v>
      </c>
      <c r="HA45" s="34"/>
      <c r="HB45" s="31"/>
      <c r="HC45" s="34"/>
      <c r="HD45" s="30" t="s">
        <v>102</v>
      </c>
      <c r="HE45" s="34" t="s">
        <v>901</v>
      </c>
      <c r="HF45" s="31" t="s">
        <v>337</v>
      </c>
      <c r="HG45" s="34"/>
      <c r="HH45" s="31"/>
      <c r="HI45" s="34"/>
      <c r="HJ45" s="31"/>
      <c r="HK45" s="34" t="s">
        <v>77</v>
      </c>
      <c r="HL45" s="31"/>
      <c r="HM45" s="34"/>
      <c r="HN45" s="31"/>
      <c r="HO45" s="34" t="s">
        <v>523</v>
      </c>
      <c r="HP45" s="31"/>
      <c r="HQ45" s="34"/>
      <c r="HR45" s="31" t="s">
        <v>1302</v>
      </c>
      <c r="HS45" s="34" t="s">
        <v>195</v>
      </c>
      <c r="HT45" s="31"/>
      <c r="HU45" s="34"/>
      <c r="HV45" s="31"/>
      <c r="HW45" s="34"/>
      <c r="HX45" s="39" t="s">
        <v>163</v>
      </c>
      <c r="HY45" s="39" t="s">
        <v>877</v>
      </c>
      <c r="HZ45" s="31"/>
      <c r="IA45" s="34"/>
      <c r="IB45" s="31" t="s">
        <v>952</v>
      </c>
      <c r="IC45" s="34" t="s">
        <v>856</v>
      </c>
      <c r="ID45" s="31"/>
      <c r="IE45" s="34"/>
      <c r="IF45" s="31" t="s">
        <v>513</v>
      </c>
      <c r="IG45" s="34"/>
      <c r="IH45" s="31"/>
      <c r="II45" s="34"/>
      <c r="IJ45" s="31"/>
      <c r="IK45" s="34" t="s">
        <v>937</v>
      </c>
      <c r="IL45" s="31"/>
      <c r="IM45" s="34"/>
      <c r="IN45" s="31"/>
      <c r="IO45" s="34"/>
      <c r="IP45" s="31" t="s">
        <v>45</v>
      </c>
      <c r="IQ45" s="34"/>
      <c r="IR45" s="31" t="s">
        <v>947</v>
      </c>
      <c r="IS45" s="34"/>
      <c r="IT45" s="31"/>
      <c r="IU45" s="34"/>
      <c r="IV45" s="31"/>
      <c r="IW45" s="34"/>
      <c r="IX45" s="31"/>
      <c r="IY45" s="34"/>
      <c r="IZ45" s="31" t="s">
        <v>944</v>
      </c>
      <c r="JA45" s="34" t="s">
        <v>871</v>
      </c>
      <c r="JB45" s="36"/>
    </row>
    <row r="46" spans="1:262" ht="30" customHeight="1" x14ac:dyDescent="0.25">
      <c r="A46" s="26" t="s">
        <v>1274</v>
      </c>
      <c r="B46" s="48" t="str">
        <f t="shared" si="1"/>
        <v>1st Choice Development
Alpha Energy Management, Inc.
Ameresco Solar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Green Water and Power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Revel Energy
Sage Energy Consulting
Sarter Construction &amp; Design, Inc / Off the Grid Design / Sol Lux Alpha
Solar Gain West LLC
Solar Pros Inc.
Solar Savings Direct
Spreck Energy
Stem, Inc.
Stronghold Engineering
Sunnova Energy
Sunon energy corporation
SunPower Corporation
SunStor
Sunterra Solar Inc
Sunworks
Swell Energy
Vector Green Power and Materials LLC</v>
      </c>
      <c r="C46" s="29" t="s">
        <v>857</v>
      </c>
      <c r="D46" s="31"/>
      <c r="E46" s="34"/>
      <c r="F46" s="31"/>
      <c r="G46" s="34"/>
      <c r="H46" s="31"/>
      <c r="I46" s="34"/>
      <c r="J46" s="31"/>
      <c r="K46" s="34"/>
      <c r="L46" s="31"/>
      <c r="M46" s="34"/>
      <c r="N46" s="30" t="s">
        <v>1295</v>
      </c>
      <c r="O46" s="34"/>
      <c r="P46" s="31"/>
      <c r="Q46" s="34"/>
      <c r="R46" s="31"/>
      <c r="S46" s="34"/>
      <c r="T46" s="31" t="s">
        <v>427</v>
      </c>
      <c r="U46" s="34" t="s">
        <v>915</v>
      </c>
      <c r="V46" s="31"/>
      <c r="W46" s="34"/>
      <c r="X46" s="31"/>
      <c r="Y46" s="34" t="s">
        <v>471</v>
      </c>
      <c r="Z46" s="31"/>
      <c r="AA46" s="34"/>
      <c r="AB46" s="31"/>
      <c r="AC46" s="34"/>
      <c r="AD46" s="31"/>
      <c r="AE46" s="34"/>
      <c r="AF46" s="31"/>
      <c r="AG46" s="34"/>
      <c r="AH46" s="31"/>
      <c r="AI46" s="34" t="s">
        <v>202</v>
      </c>
      <c r="AJ46" s="31"/>
      <c r="AK46" s="34"/>
      <c r="AL46" s="31"/>
      <c r="AM46" s="34"/>
      <c r="AN46" s="31"/>
      <c r="AO46" s="34" t="s">
        <v>497</v>
      </c>
      <c r="AP46" s="31" t="s">
        <v>1231</v>
      </c>
      <c r="AQ46" s="34"/>
      <c r="AR46" s="31"/>
      <c r="AS46" s="34" t="s">
        <v>60</v>
      </c>
      <c r="AT46" s="31" t="s">
        <v>205</v>
      </c>
      <c r="AU46" s="34"/>
      <c r="AV46" s="31"/>
      <c r="AW46" s="34"/>
      <c r="AX46" s="31"/>
      <c r="AY46" s="34"/>
      <c r="AZ46" s="31"/>
      <c r="BA46" s="34" t="s">
        <v>351</v>
      </c>
      <c r="BB46" s="31"/>
      <c r="BC46" s="34"/>
      <c r="BD46" s="31"/>
      <c r="BE46" s="34"/>
      <c r="BF46" s="31"/>
      <c r="BG46" s="34"/>
      <c r="BH46" s="31"/>
      <c r="BI46" s="34"/>
      <c r="BJ46" s="31" t="s">
        <v>321</v>
      </c>
      <c r="BK46" s="34"/>
      <c r="BL46" s="31"/>
      <c r="BM46" s="34"/>
      <c r="BN46" s="31"/>
      <c r="BO46" s="34"/>
      <c r="BP46" s="31"/>
      <c r="BQ46" s="34" t="s">
        <v>391</v>
      </c>
      <c r="BR46" s="31"/>
      <c r="BS46" s="34"/>
      <c r="BT46" s="31"/>
      <c r="BU46" s="34"/>
      <c r="BV46" s="31"/>
      <c r="BW46" s="34" t="s">
        <v>532</v>
      </c>
      <c r="BX46" s="31" t="s">
        <v>280</v>
      </c>
      <c r="BY46" s="34"/>
      <c r="BZ46" s="31"/>
      <c r="CA46" s="34" t="s">
        <v>853</v>
      </c>
      <c r="CB46" s="31"/>
      <c r="CC46" s="34"/>
      <c r="CD46" s="31"/>
      <c r="CE46" s="34" t="s">
        <v>275</v>
      </c>
      <c r="CF46" s="31"/>
      <c r="CG46" s="34"/>
      <c r="CH46" s="31"/>
      <c r="CI46" s="34"/>
      <c r="CJ46" s="31"/>
      <c r="CK46" s="34"/>
      <c r="CL46" s="31"/>
      <c r="CM46" s="34"/>
      <c r="CN46" s="31" t="s">
        <v>487</v>
      </c>
      <c r="CO46" s="34"/>
      <c r="CP46" s="31"/>
      <c r="CQ46" s="34"/>
      <c r="CR46" s="31"/>
      <c r="CS46" s="34" t="s">
        <v>892</v>
      </c>
      <c r="CT46" s="31"/>
      <c r="CU46" s="34" t="s">
        <v>99</v>
      </c>
      <c r="CV46" s="31" t="s">
        <v>852</v>
      </c>
      <c r="CW46" s="34" t="s">
        <v>167</v>
      </c>
      <c r="CX46" s="31"/>
      <c r="CY46" s="34"/>
      <c r="CZ46" s="31"/>
      <c r="DA46" s="34"/>
      <c r="DB46" s="31"/>
      <c r="DC46" s="34"/>
      <c r="DD46" s="31"/>
      <c r="DE46" s="34"/>
      <c r="DF46" s="31"/>
      <c r="DG46" s="34"/>
      <c r="DH46" s="31"/>
      <c r="DI46" s="34"/>
      <c r="DJ46" s="31" t="s">
        <v>272</v>
      </c>
      <c r="DK46" s="34"/>
      <c r="DL46" s="31" t="s">
        <v>428</v>
      </c>
      <c r="DM46" s="34"/>
      <c r="DN46" s="31"/>
      <c r="DO46" s="34"/>
      <c r="DP46" s="31"/>
      <c r="DQ46" s="34"/>
      <c r="DR46" s="31"/>
      <c r="DS46" s="34"/>
      <c r="DT46" s="31"/>
      <c r="DU46" s="34"/>
      <c r="DV46" s="31" t="s">
        <v>109</v>
      </c>
      <c r="DW46" s="34" t="s">
        <v>895</v>
      </c>
      <c r="DX46" s="31" t="s">
        <v>932</v>
      </c>
      <c r="DY46" s="34"/>
      <c r="DZ46" s="31"/>
      <c r="EA46" s="34" t="s">
        <v>595</v>
      </c>
      <c r="EB46" s="31"/>
      <c r="EC46" s="34"/>
      <c r="ED46" s="31"/>
      <c r="EE46" s="34" t="s">
        <v>83</v>
      </c>
      <c r="EF46" s="31"/>
      <c r="EG46" s="34"/>
      <c r="EH46" s="31"/>
      <c r="EI46" s="34"/>
      <c r="EJ46" s="31"/>
      <c r="EK46" s="34"/>
      <c r="EL46" s="31"/>
      <c r="EM46" s="34"/>
      <c r="EN46" s="31"/>
      <c r="EO46" s="34"/>
      <c r="EP46" s="31"/>
      <c r="EQ46" s="34" t="s">
        <v>363</v>
      </c>
      <c r="ER46" s="31"/>
      <c r="ES46" s="34" t="s">
        <v>935</v>
      </c>
      <c r="ET46" s="31"/>
      <c r="EU46" s="34"/>
      <c r="EV46" s="31"/>
      <c r="EW46" s="34" t="s">
        <v>983</v>
      </c>
      <c r="EX46" s="31"/>
      <c r="EY46" s="34"/>
      <c r="EZ46" s="31"/>
      <c r="FA46" s="34"/>
      <c r="FB46" s="31"/>
      <c r="FC46" s="34"/>
      <c r="FD46" s="31" t="s">
        <v>484</v>
      </c>
      <c r="FE46" s="34"/>
      <c r="FF46" s="31"/>
      <c r="FG46" s="34"/>
      <c r="FH46" s="31"/>
      <c r="FI46" s="34" t="s">
        <v>354</v>
      </c>
      <c r="FJ46" s="31"/>
      <c r="FK46" s="34" t="s">
        <v>341</v>
      </c>
      <c r="FL46" s="31"/>
      <c r="FM46" s="34"/>
      <c r="FN46" s="31" t="s">
        <v>465</v>
      </c>
      <c r="FO46" s="34"/>
      <c r="FP46" s="31"/>
      <c r="FQ46" s="34" t="s">
        <v>171</v>
      </c>
      <c r="FR46" s="31"/>
      <c r="FS46" s="39"/>
      <c r="FT46" s="39"/>
      <c r="FU46" s="34"/>
      <c r="FV46" s="31"/>
      <c r="FW46" s="34"/>
      <c r="FX46" s="31"/>
      <c r="FY46" s="34"/>
      <c r="FZ46" s="31"/>
      <c r="GA46" s="34"/>
      <c r="GB46" s="31"/>
      <c r="GC46" s="34"/>
      <c r="GD46" s="31"/>
      <c r="GE46" s="34"/>
      <c r="GF46" s="31"/>
      <c r="GG46" s="34"/>
      <c r="GH46" s="31"/>
      <c r="GI46" s="34" t="s">
        <v>454</v>
      </c>
      <c r="GJ46" s="31"/>
      <c r="GK46" s="34"/>
      <c r="GL46" s="31"/>
      <c r="GM46" s="34" t="s">
        <v>501</v>
      </c>
      <c r="GN46" s="31"/>
      <c r="GO46" s="34" t="s">
        <v>96</v>
      </c>
      <c r="GP46" s="31"/>
      <c r="GQ46" s="34"/>
      <c r="GR46" s="31"/>
      <c r="GS46" s="34"/>
      <c r="GT46" s="31"/>
      <c r="GU46" s="34"/>
      <c r="GV46" s="31"/>
      <c r="GW46" s="34"/>
      <c r="GX46" s="31"/>
      <c r="GY46" s="34"/>
      <c r="GZ46" s="31" t="s">
        <v>894</v>
      </c>
      <c r="HA46" s="34"/>
      <c r="HB46" s="31"/>
      <c r="HC46" s="34"/>
      <c r="HD46" s="30" t="s">
        <v>102</v>
      </c>
      <c r="HE46" s="34" t="s">
        <v>901</v>
      </c>
      <c r="HF46" s="31"/>
      <c r="HG46" s="34"/>
      <c r="HH46" s="31"/>
      <c r="HI46" s="34"/>
      <c r="HJ46" s="31"/>
      <c r="HK46" s="34"/>
      <c r="HL46" s="31"/>
      <c r="HM46" s="34"/>
      <c r="HN46" s="31"/>
      <c r="HO46" s="34" t="s">
        <v>523</v>
      </c>
      <c r="HP46" s="31" t="s">
        <v>56</v>
      </c>
      <c r="HQ46" s="34"/>
      <c r="HR46" s="31"/>
      <c r="HS46" s="34" t="s">
        <v>195</v>
      </c>
      <c r="HT46" s="31"/>
      <c r="HU46" s="34" t="s">
        <v>183</v>
      </c>
      <c r="HV46" s="31"/>
      <c r="HW46" s="34"/>
      <c r="HX46" s="39" t="s">
        <v>163</v>
      </c>
      <c r="HY46" s="39" t="s">
        <v>877</v>
      </c>
      <c r="HZ46" s="31"/>
      <c r="IA46" s="34"/>
      <c r="IB46" s="31"/>
      <c r="IC46" s="34" t="s">
        <v>856</v>
      </c>
      <c r="ID46" s="31"/>
      <c r="IE46" s="34"/>
      <c r="IF46" s="31"/>
      <c r="IG46" s="34"/>
      <c r="IH46" s="31"/>
      <c r="II46" s="34"/>
      <c r="IJ46" s="31"/>
      <c r="IK46" s="34"/>
      <c r="IL46" s="31"/>
      <c r="IM46" s="34"/>
      <c r="IN46" s="31"/>
      <c r="IO46" s="34" t="s">
        <v>230</v>
      </c>
      <c r="IP46" s="31"/>
      <c r="IQ46" s="34"/>
      <c r="IR46" s="31"/>
      <c r="IS46" s="34"/>
      <c r="IT46" s="31"/>
      <c r="IU46" s="34"/>
      <c r="IV46" s="31"/>
      <c r="IW46" s="34"/>
      <c r="IX46" s="31"/>
      <c r="IY46" s="34"/>
      <c r="IZ46" s="31"/>
      <c r="JA46" s="34"/>
      <c r="JB46" s="36"/>
    </row>
    <row r="47" spans="1:262" ht="30" customHeight="1" x14ac:dyDescent="0.25">
      <c r="A47" s="27" t="s">
        <v>1275</v>
      </c>
      <c r="B47" s="48" t="str">
        <f t="shared" si="1"/>
        <v>1st Choice Development
Alpha Energy Management, Inc.
Apollo Home Performance
Bright Power
Byers
California Solar Electric Cooperative
California Solar Integrators, Inc.
California State Development
Centrica Business Solutions
Chico Electric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Horizon Solar Power
Ilum Solar
Infinity Energy Inc
Kuubix Energy, Inc.
LA Solar Group
Laibach Solar
LLUMETEC
Mack Electric/Gardner Energy
NRG Clean Power
Pacific Rim ConstructioRAM SOLAR
Promise Energy Inc
REC Solar
Sage Energy Consulting
Solar Gain West LLC
Solar Pros Inc.
Solar Savings Direct
Stem, Inc.
Stronghold Engineering
Sunnova Energy
SunPower Corporation
Sunterra Solar Inc
Sunworks
Sustainable Energy Group
Swell Energy
Vivint Solar</v>
      </c>
      <c r="C47" s="29" t="s">
        <v>857</v>
      </c>
      <c r="D47" s="31"/>
      <c r="E47" s="34"/>
      <c r="F47" s="31"/>
      <c r="G47" s="34"/>
      <c r="H47" s="31"/>
      <c r="I47" s="34"/>
      <c r="J47" s="31"/>
      <c r="K47" s="34"/>
      <c r="L47" s="31"/>
      <c r="M47" s="34"/>
      <c r="N47" s="30" t="s">
        <v>1295</v>
      </c>
      <c r="O47" s="34"/>
      <c r="P47" s="31"/>
      <c r="Q47" s="34"/>
      <c r="R47" s="31"/>
      <c r="S47" s="34"/>
      <c r="T47" s="31"/>
      <c r="U47" s="34" t="s">
        <v>915</v>
      </c>
      <c r="V47" s="31"/>
      <c r="W47" s="34"/>
      <c r="X47" s="31"/>
      <c r="Y47" s="34"/>
      <c r="Z47" s="31"/>
      <c r="AA47" s="34"/>
      <c r="AB47" s="31"/>
      <c r="AC47" s="34"/>
      <c r="AD47" s="31"/>
      <c r="AE47" s="34"/>
      <c r="AF47" s="31"/>
      <c r="AG47" s="34"/>
      <c r="AH47" s="31"/>
      <c r="AI47" s="34" t="s">
        <v>202</v>
      </c>
      <c r="AJ47" s="31"/>
      <c r="AK47" s="34" t="s">
        <v>882</v>
      </c>
      <c r="AL47" s="31"/>
      <c r="AM47" s="34"/>
      <c r="AN47" s="31" t="s">
        <v>505</v>
      </c>
      <c r="AO47" s="34" t="s">
        <v>497</v>
      </c>
      <c r="AP47" s="31" t="s">
        <v>1231</v>
      </c>
      <c r="AQ47" s="34"/>
      <c r="AR47" s="31"/>
      <c r="AS47" s="34" t="s">
        <v>60</v>
      </c>
      <c r="AT47" s="31" t="s">
        <v>205</v>
      </c>
      <c r="AU47" s="34"/>
      <c r="AV47" s="31"/>
      <c r="AW47" s="34"/>
      <c r="AX47" s="31"/>
      <c r="AY47" s="34"/>
      <c r="AZ47" s="31"/>
      <c r="BA47" s="34" t="s">
        <v>351</v>
      </c>
      <c r="BB47" s="31"/>
      <c r="BC47" s="34"/>
      <c r="BD47" s="31"/>
      <c r="BE47" s="34" t="s">
        <v>1215</v>
      </c>
      <c r="BF47" s="31"/>
      <c r="BG47" s="34"/>
      <c r="BH47" s="31"/>
      <c r="BI47" s="34"/>
      <c r="BJ47" s="31" t="s">
        <v>321</v>
      </c>
      <c r="BK47" s="34"/>
      <c r="BL47" s="31"/>
      <c r="BM47" s="34"/>
      <c r="BN47" s="31"/>
      <c r="BO47" s="34"/>
      <c r="BP47" s="31"/>
      <c r="BQ47" s="34" t="s">
        <v>391</v>
      </c>
      <c r="BR47" s="31"/>
      <c r="BS47" s="34"/>
      <c r="BT47" s="31"/>
      <c r="BU47" s="34"/>
      <c r="BV47" s="31" t="s">
        <v>330</v>
      </c>
      <c r="BW47" s="34" t="s">
        <v>532</v>
      </c>
      <c r="BX47" s="31" t="s">
        <v>280</v>
      </c>
      <c r="BY47" s="34"/>
      <c r="BZ47" s="31"/>
      <c r="CA47" s="34" t="s">
        <v>853</v>
      </c>
      <c r="CB47" s="31"/>
      <c r="CC47" s="34"/>
      <c r="CD47" s="31"/>
      <c r="CE47" s="34" t="s">
        <v>275</v>
      </c>
      <c r="CF47" s="31"/>
      <c r="CG47" s="34"/>
      <c r="CH47" s="31"/>
      <c r="CI47" s="34"/>
      <c r="CJ47" s="31"/>
      <c r="CK47" s="34"/>
      <c r="CL47" s="31"/>
      <c r="CM47" s="34"/>
      <c r="CN47" s="31" t="s">
        <v>487</v>
      </c>
      <c r="CO47" s="34"/>
      <c r="CP47" s="31"/>
      <c r="CQ47" s="34"/>
      <c r="CR47" s="31"/>
      <c r="CS47" s="34" t="s">
        <v>892</v>
      </c>
      <c r="CT47" s="31"/>
      <c r="CU47" s="34" t="s">
        <v>99</v>
      </c>
      <c r="CV47" s="31" t="s">
        <v>852</v>
      </c>
      <c r="CW47" s="34"/>
      <c r="CX47" s="31"/>
      <c r="CY47" s="34"/>
      <c r="CZ47" s="31"/>
      <c r="DA47" s="34"/>
      <c r="DB47" s="31"/>
      <c r="DC47" s="34"/>
      <c r="DD47" s="31"/>
      <c r="DE47" s="34" t="s">
        <v>134</v>
      </c>
      <c r="DF47" s="31"/>
      <c r="DG47" s="34"/>
      <c r="DH47" s="31"/>
      <c r="DI47" s="34"/>
      <c r="DJ47" s="31" t="s">
        <v>272</v>
      </c>
      <c r="DK47" s="34"/>
      <c r="DL47" s="31" t="s">
        <v>428</v>
      </c>
      <c r="DM47" s="34"/>
      <c r="DN47" s="31"/>
      <c r="DO47" s="34"/>
      <c r="DP47" s="31"/>
      <c r="DQ47" s="34"/>
      <c r="DR47" s="31"/>
      <c r="DS47" s="34"/>
      <c r="DT47" s="31"/>
      <c r="DU47" s="34"/>
      <c r="DV47" s="31" t="s">
        <v>109</v>
      </c>
      <c r="DW47" s="34" t="s">
        <v>895</v>
      </c>
      <c r="DX47" s="31" t="s">
        <v>932</v>
      </c>
      <c r="DY47" s="34"/>
      <c r="DZ47" s="31"/>
      <c r="EA47" s="34" t="s">
        <v>595</v>
      </c>
      <c r="EB47" s="31"/>
      <c r="EC47" s="34"/>
      <c r="ED47" s="31"/>
      <c r="EE47" s="34" t="s">
        <v>83</v>
      </c>
      <c r="EF47" s="31"/>
      <c r="EG47" s="34"/>
      <c r="EH47" s="31"/>
      <c r="EI47" s="34"/>
      <c r="EJ47" s="31"/>
      <c r="EK47" s="34"/>
      <c r="EL47" s="31"/>
      <c r="EM47" s="34"/>
      <c r="EN47" s="31"/>
      <c r="EO47" s="34"/>
      <c r="EP47" s="31"/>
      <c r="EQ47" s="34"/>
      <c r="ER47" s="31"/>
      <c r="ES47" s="34" t="s">
        <v>935</v>
      </c>
      <c r="ET47" s="31"/>
      <c r="EU47" s="34"/>
      <c r="EV47" s="31"/>
      <c r="EW47" s="34" t="s">
        <v>983</v>
      </c>
      <c r="EX47" s="31"/>
      <c r="EY47" s="34"/>
      <c r="EZ47" s="31"/>
      <c r="FA47" s="34"/>
      <c r="FB47" s="31"/>
      <c r="FC47" s="34"/>
      <c r="FD47" s="31" t="s">
        <v>484</v>
      </c>
      <c r="FE47" s="34"/>
      <c r="FF47" s="31"/>
      <c r="FG47" s="34"/>
      <c r="FH47" s="31"/>
      <c r="FI47" s="34" t="s">
        <v>354</v>
      </c>
      <c r="FJ47" s="31"/>
      <c r="FK47" s="34"/>
      <c r="FL47" s="31"/>
      <c r="FM47" s="34"/>
      <c r="FN47" s="31" t="s">
        <v>465</v>
      </c>
      <c r="FO47" s="34"/>
      <c r="FP47" s="31"/>
      <c r="FQ47" s="34"/>
      <c r="FR47" s="31"/>
      <c r="FS47" s="39"/>
      <c r="FT47" s="39"/>
      <c r="FU47" s="34"/>
      <c r="FV47" s="31"/>
      <c r="FW47" s="34"/>
      <c r="FX47" s="31"/>
      <c r="FY47" s="34"/>
      <c r="FZ47" s="31"/>
      <c r="GA47" s="34"/>
      <c r="GB47" s="31"/>
      <c r="GC47" s="34"/>
      <c r="GD47" s="31"/>
      <c r="GE47" s="34"/>
      <c r="GF47" s="31"/>
      <c r="GG47" s="34"/>
      <c r="GH47" s="31"/>
      <c r="GI47" s="34" t="s">
        <v>454</v>
      </c>
      <c r="GJ47" s="31"/>
      <c r="GK47" s="34"/>
      <c r="GL47" s="31"/>
      <c r="GM47" s="34" t="s">
        <v>501</v>
      </c>
      <c r="GN47" s="31"/>
      <c r="GO47" s="34" t="s">
        <v>96</v>
      </c>
      <c r="GP47" s="31"/>
      <c r="GQ47" s="34"/>
      <c r="GR47" s="31"/>
      <c r="GS47" s="34"/>
      <c r="GT47" s="31"/>
      <c r="GU47" s="34"/>
      <c r="GV47" s="31"/>
      <c r="GW47" s="34"/>
      <c r="GX47" s="31"/>
      <c r="GY47" s="34"/>
      <c r="GZ47" s="31"/>
      <c r="HA47" s="34"/>
      <c r="HB47" s="31"/>
      <c r="HC47" s="34"/>
      <c r="HD47" s="30" t="s">
        <v>102</v>
      </c>
      <c r="HE47" s="34" t="s">
        <v>901</v>
      </c>
      <c r="HF47" s="31"/>
      <c r="HG47" s="34"/>
      <c r="HH47" s="31"/>
      <c r="HI47" s="34"/>
      <c r="HJ47" s="31"/>
      <c r="HK47" s="34"/>
      <c r="HL47" s="31"/>
      <c r="HM47" s="34"/>
      <c r="HN47" s="31"/>
      <c r="HO47" s="34" t="s">
        <v>523</v>
      </c>
      <c r="HP47" s="31"/>
      <c r="HQ47" s="34"/>
      <c r="HR47" s="31"/>
      <c r="HS47" s="34" t="s">
        <v>195</v>
      </c>
      <c r="HT47" s="31"/>
      <c r="HU47" s="34"/>
      <c r="HV47" s="31"/>
      <c r="HW47" s="34"/>
      <c r="HX47" s="39" t="s">
        <v>163</v>
      </c>
      <c r="HY47" s="39" t="s">
        <v>877</v>
      </c>
      <c r="HZ47" s="31" t="s">
        <v>49</v>
      </c>
      <c r="IA47" s="34"/>
      <c r="IB47" s="31"/>
      <c r="IC47" s="34" t="s">
        <v>856</v>
      </c>
      <c r="ID47" s="31"/>
      <c r="IE47" s="34"/>
      <c r="IF47" s="31"/>
      <c r="IG47" s="34"/>
      <c r="IH47" s="31"/>
      <c r="II47" s="34"/>
      <c r="IJ47" s="31"/>
      <c r="IK47" s="34"/>
      <c r="IL47" s="31"/>
      <c r="IM47" s="34"/>
      <c r="IN47" s="31"/>
      <c r="IO47" s="34"/>
      <c r="IP47" s="31" t="s">
        <v>45</v>
      </c>
      <c r="IQ47" s="34"/>
      <c r="IR47" s="31"/>
      <c r="IS47" s="34"/>
      <c r="IT47" s="31"/>
      <c r="IU47" s="34"/>
      <c r="IV47" s="31"/>
      <c r="IW47" s="34"/>
      <c r="IX47" s="31"/>
      <c r="IY47" s="34"/>
      <c r="IZ47" s="31"/>
      <c r="JA47" s="34"/>
      <c r="JB47" s="36"/>
    </row>
    <row r="48" spans="1:262" ht="30" customHeight="1" x14ac:dyDescent="0.25">
      <c r="A48" s="26" t="s">
        <v>1276</v>
      </c>
      <c r="B48" s="48" t="str">
        <f t="shared" si="1"/>
        <v xml:space="preserve">1st Choice Development
Alpha Energy Management, Inc.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Sage Energy Consulting
Solar Gain West LLC
Solar Pros Inc.
Stem, Inc.
Stronghold Engineering
Sunnova Energy
SunPower Corporation
Sunterra Solar Inc
Sunworks
Swell Energy
Vector Green Power and Materials LLC
Wesley Hodges General Contractor (Part owner of Six Rivers Solar) </v>
      </c>
      <c r="C48" s="29" t="s">
        <v>857</v>
      </c>
      <c r="D48" s="31"/>
      <c r="E48" s="34"/>
      <c r="F48" s="31"/>
      <c r="G48" s="34"/>
      <c r="H48" s="31"/>
      <c r="I48" s="34"/>
      <c r="J48" s="31"/>
      <c r="K48" s="34"/>
      <c r="L48" s="31"/>
      <c r="M48" s="34"/>
      <c r="N48" s="30" t="s">
        <v>1295</v>
      </c>
      <c r="O48" s="34"/>
      <c r="P48" s="31"/>
      <c r="Q48" s="34"/>
      <c r="R48" s="31"/>
      <c r="S48" s="34"/>
      <c r="T48" s="31"/>
      <c r="U48" s="34" t="s">
        <v>915</v>
      </c>
      <c r="V48" s="31"/>
      <c r="W48" s="34"/>
      <c r="X48" s="31"/>
      <c r="Y48" s="34" t="s">
        <v>471</v>
      </c>
      <c r="Z48" s="31"/>
      <c r="AA48" s="34"/>
      <c r="AB48" s="31"/>
      <c r="AC48" s="34"/>
      <c r="AD48" s="31"/>
      <c r="AE48" s="34"/>
      <c r="AF48" s="31"/>
      <c r="AG48" s="34"/>
      <c r="AH48" s="31"/>
      <c r="AI48" s="34" t="s">
        <v>202</v>
      </c>
      <c r="AJ48" s="31"/>
      <c r="AK48" s="34"/>
      <c r="AL48" s="31"/>
      <c r="AM48" s="34"/>
      <c r="AN48" s="31"/>
      <c r="AO48" s="34" t="s">
        <v>497</v>
      </c>
      <c r="AP48" s="31" t="s">
        <v>1231</v>
      </c>
      <c r="AQ48" s="34"/>
      <c r="AR48" s="31"/>
      <c r="AS48" s="34" t="s">
        <v>60</v>
      </c>
      <c r="AT48" s="31" t="s">
        <v>205</v>
      </c>
      <c r="AU48" s="34"/>
      <c r="AV48" s="31"/>
      <c r="AW48" s="34"/>
      <c r="AX48" s="31"/>
      <c r="AY48" s="34"/>
      <c r="AZ48" s="31"/>
      <c r="BA48" s="34" t="s">
        <v>351</v>
      </c>
      <c r="BB48" s="31"/>
      <c r="BC48" s="34"/>
      <c r="BD48" s="31"/>
      <c r="BE48" s="34"/>
      <c r="BF48" s="31"/>
      <c r="BG48" s="34"/>
      <c r="BH48" s="31"/>
      <c r="BI48" s="34"/>
      <c r="BJ48" s="31" t="s">
        <v>321</v>
      </c>
      <c r="BK48" s="34"/>
      <c r="BL48" s="31"/>
      <c r="BM48" s="34"/>
      <c r="BN48" s="31"/>
      <c r="BO48" s="34"/>
      <c r="BP48" s="31"/>
      <c r="BQ48" s="34" t="s">
        <v>391</v>
      </c>
      <c r="BR48" s="31"/>
      <c r="BS48" s="34"/>
      <c r="BT48" s="31"/>
      <c r="BU48" s="34"/>
      <c r="BV48" s="31"/>
      <c r="BW48" s="34" t="s">
        <v>532</v>
      </c>
      <c r="BX48" s="31" t="s">
        <v>280</v>
      </c>
      <c r="BY48" s="34"/>
      <c r="BZ48" s="31"/>
      <c r="CA48" s="34" t="s">
        <v>853</v>
      </c>
      <c r="CB48" s="31"/>
      <c r="CC48" s="34"/>
      <c r="CD48" s="31"/>
      <c r="CE48" s="34" t="s">
        <v>275</v>
      </c>
      <c r="CF48" s="31"/>
      <c r="CG48" s="34"/>
      <c r="CH48" s="31"/>
      <c r="CI48" s="34"/>
      <c r="CJ48" s="31"/>
      <c r="CK48" s="34"/>
      <c r="CL48" s="31"/>
      <c r="CM48" s="34"/>
      <c r="CN48" s="31" t="s">
        <v>487</v>
      </c>
      <c r="CO48" s="34"/>
      <c r="CP48" s="31"/>
      <c r="CQ48" s="34"/>
      <c r="CR48" s="31"/>
      <c r="CS48" s="34"/>
      <c r="CT48" s="31"/>
      <c r="CU48" s="34" t="s">
        <v>99</v>
      </c>
      <c r="CV48" s="31" t="s">
        <v>852</v>
      </c>
      <c r="CW48" s="34" t="s">
        <v>167</v>
      </c>
      <c r="CX48" s="31"/>
      <c r="CY48" s="34"/>
      <c r="CZ48" s="31"/>
      <c r="DA48" s="34"/>
      <c r="DB48" s="31"/>
      <c r="DC48" s="34"/>
      <c r="DD48" s="31"/>
      <c r="DE48" s="34"/>
      <c r="DF48" s="31"/>
      <c r="DG48" s="34"/>
      <c r="DH48" s="31"/>
      <c r="DI48" s="34"/>
      <c r="DJ48" s="31" t="s">
        <v>272</v>
      </c>
      <c r="DK48" s="34"/>
      <c r="DL48" s="31" t="s">
        <v>428</v>
      </c>
      <c r="DM48" s="34"/>
      <c r="DN48" s="31"/>
      <c r="DO48" s="34"/>
      <c r="DP48" s="31"/>
      <c r="DQ48" s="34"/>
      <c r="DR48" s="31"/>
      <c r="DS48" s="34"/>
      <c r="DT48" s="31"/>
      <c r="DU48" s="34"/>
      <c r="DV48" s="31" t="s">
        <v>109</v>
      </c>
      <c r="DW48" s="34" t="s">
        <v>895</v>
      </c>
      <c r="DX48" s="31" t="s">
        <v>932</v>
      </c>
      <c r="DY48" s="34"/>
      <c r="DZ48" s="31"/>
      <c r="EA48" s="34" t="s">
        <v>595</v>
      </c>
      <c r="EB48" s="31"/>
      <c r="EC48" s="34"/>
      <c r="ED48" s="31"/>
      <c r="EE48" s="34" t="s">
        <v>83</v>
      </c>
      <c r="EF48" s="31"/>
      <c r="EG48" s="34"/>
      <c r="EH48" s="31"/>
      <c r="EI48" s="34"/>
      <c r="EJ48" s="31"/>
      <c r="EK48" s="34"/>
      <c r="EL48" s="31"/>
      <c r="EM48" s="34"/>
      <c r="EN48" s="31"/>
      <c r="EO48" s="34"/>
      <c r="EP48" s="31"/>
      <c r="EQ48" s="34" t="s">
        <v>363</v>
      </c>
      <c r="ER48" s="31"/>
      <c r="ES48" s="34" t="s">
        <v>935</v>
      </c>
      <c r="ET48" s="31"/>
      <c r="EU48" s="34"/>
      <c r="EV48" s="31"/>
      <c r="EW48" s="34" t="s">
        <v>983</v>
      </c>
      <c r="EX48" s="31"/>
      <c r="EY48" s="34"/>
      <c r="EZ48" s="31"/>
      <c r="FA48" s="34"/>
      <c r="FB48" s="31"/>
      <c r="FC48" s="34"/>
      <c r="FD48" s="31" t="s">
        <v>484</v>
      </c>
      <c r="FE48" s="34"/>
      <c r="FF48" s="31"/>
      <c r="FG48" s="34"/>
      <c r="FH48" s="31"/>
      <c r="FI48" s="34" t="s">
        <v>354</v>
      </c>
      <c r="FJ48" s="31"/>
      <c r="FK48" s="34"/>
      <c r="FL48" s="31"/>
      <c r="FM48" s="34"/>
      <c r="FN48" s="31" t="s">
        <v>465</v>
      </c>
      <c r="FO48" s="34"/>
      <c r="FP48" s="31"/>
      <c r="FQ48" s="34"/>
      <c r="FR48" s="31"/>
      <c r="FS48" s="39"/>
      <c r="FT48" s="39"/>
      <c r="FU48" s="34"/>
      <c r="FV48" s="31"/>
      <c r="FW48" s="34"/>
      <c r="FX48" s="31"/>
      <c r="FY48" s="34"/>
      <c r="FZ48" s="31"/>
      <c r="GA48" s="34"/>
      <c r="GB48" s="31"/>
      <c r="GC48" s="34"/>
      <c r="GD48" s="31"/>
      <c r="GE48" s="34"/>
      <c r="GF48" s="31"/>
      <c r="GG48" s="34"/>
      <c r="GH48" s="31"/>
      <c r="GI48" s="34" t="s">
        <v>454</v>
      </c>
      <c r="GJ48" s="31"/>
      <c r="GK48" s="34"/>
      <c r="GL48" s="31"/>
      <c r="GM48" s="34" t="s">
        <v>501</v>
      </c>
      <c r="GN48" s="31"/>
      <c r="GO48" s="34"/>
      <c r="GP48" s="31"/>
      <c r="GQ48" s="34"/>
      <c r="GR48" s="31"/>
      <c r="GS48" s="34"/>
      <c r="GT48" s="31"/>
      <c r="GU48" s="34"/>
      <c r="GV48" s="31"/>
      <c r="GW48" s="34"/>
      <c r="GX48" s="31"/>
      <c r="GY48" s="34"/>
      <c r="GZ48" s="31"/>
      <c r="HA48" s="34"/>
      <c r="HB48" s="31"/>
      <c r="HC48" s="34"/>
      <c r="HD48" s="30" t="s">
        <v>102</v>
      </c>
      <c r="HE48" s="34" t="s">
        <v>901</v>
      </c>
      <c r="HF48" s="31"/>
      <c r="HG48" s="34"/>
      <c r="HH48" s="31"/>
      <c r="HI48" s="34"/>
      <c r="HJ48" s="31"/>
      <c r="HK48" s="34"/>
      <c r="HL48" s="31"/>
      <c r="HM48" s="34"/>
      <c r="HN48" s="31"/>
      <c r="HO48" s="34" t="s">
        <v>523</v>
      </c>
      <c r="HP48" s="31"/>
      <c r="HQ48" s="34"/>
      <c r="HR48" s="31"/>
      <c r="HS48" s="34" t="s">
        <v>195</v>
      </c>
      <c r="HT48" s="31"/>
      <c r="HU48" s="34"/>
      <c r="HV48" s="31"/>
      <c r="HW48" s="34"/>
      <c r="HX48" s="39" t="s">
        <v>163</v>
      </c>
      <c r="HY48" s="39" t="s">
        <v>877</v>
      </c>
      <c r="HZ48" s="31"/>
      <c r="IA48" s="34"/>
      <c r="IB48" s="31"/>
      <c r="IC48" s="34" t="s">
        <v>856</v>
      </c>
      <c r="ID48" s="31"/>
      <c r="IE48" s="34"/>
      <c r="IF48" s="31"/>
      <c r="IG48" s="34"/>
      <c r="IH48" s="31"/>
      <c r="II48" s="34"/>
      <c r="IJ48" s="31"/>
      <c r="IK48" s="34"/>
      <c r="IL48" s="31"/>
      <c r="IM48" s="34"/>
      <c r="IN48" s="31"/>
      <c r="IO48" s="34" t="s">
        <v>230</v>
      </c>
      <c r="IP48" s="31"/>
      <c r="IQ48" s="34"/>
      <c r="IR48" s="31"/>
      <c r="IS48" s="34" t="s">
        <v>1226</v>
      </c>
      <c r="IT48" s="31"/>
      <c r="IU48" s="34"/>
      <c r="IV48" s="31"/>
      <c r="IW48" s="34"/>
      <c r="IX48" s="31"/>
      <c r="IY48" s="34"/>
      <c r="IZ48" s="31"/>
      <c r="JA48" s="34"/>
      <c r="JB48" s="36"/>
    </row>
    <row r="49" spans="1:262" ht="30" customHeight="1" x14ac:dyDescent="0.25">
      <c r="A49" s="27" t="s">
        <v>1277</v>
      </c>
      <c r="B49" s="48" t="str">
        <f t="shared" si="1"/>
        <v>1st Choice Development
ACR Solar
Advanced Alternative Energy Solutions
Alpha Energy Management, Inc.
Ambrose Construction Inc
Apollo Home Performance
Aztec Solar Inc.
Bright Power
CalCom Energy
California Solar Integrators, Inc.
California State Development
Centrica Business Solutions
Citadel Roofing &amp; Solar
Clean Factor Energy
Climatec
Corona Solar
DC Solar Electric, Inc
DEL SOL NRG, INC.
EDF Renewables Distributed Solutions
Enable Energy, Inc.
Enel X North America
Energy Independence Group
Engie Services US
ForeFront Power
Future Energy Corporation
Gold Rush Energy Solutions
Got Watts Electric &amp; Solar
Green Water and Power
GRID Alternatives
GS Homes
Horizon Solar Power
Hot Watts Technology
Ilum Solar
Infinity Energy Inc
Innovative Energy Systems (IES)
Kota Construction
Kuubix Energy, Inc.
LA Solar Group
Laibach Solar
LLUMETEC
Mack Electric/Gardner Energy
Mei renewables Inc
MEI Renewables, Inc.
Michael &amp; Sun Solar Inc
Modernize Construction
NRG Clean Power
Pac Solar Corporation
Pacific Rim ConstructioRAM SOLAR
PacificWest Energy Solutions, Inc.
Promise Energy Inc
REC Solar
Revel Energy
Sage Energy Consulting
Sarter Construction &amp; Design, Inc / Off the Grid Design / Sol Lux Alpha
Semper Solaris
Sierra Pacific
Sky Power Solar
Solar Gain West LLC
Solar Optimum Inc
Solar Pros Inc.
Solar Savings Direct
SolarWinds Energy
Spreck Energy
Starseed Electric
Stem, Inc.
Stronghold Engineering
Sun Power by Ambrose
Sun River Solar
Sunce Energy Solutions, Inc.
Sungenix Energy Solutions
Sunnova Energy
SunPower by Hooked On Solar
SunPower Corporation
SunStor
Sunterra Solar Inc
Sunworks
Sustainable Technologies
Swell Energy
Symmetric Energy / Solar Winds Energy
V3 Electric Inc
Vivint Solar
West Coast Solar
Westhaven Inc.
Your Energy Solutions
Your Energy Source (YES)
Zero Energy Associates</v>
      </c>
      <c r="C49" s="29" t="s">
        <v>857</v>
      </c>
      <c r="D49" s="31"/>
      <c r="E49" s="34"/>
      <c r="F49" s="31"/>
      <c r="G49" s="34" t="s">
        <v>866</v>
      </c>
      <c r="H49" s="31" t="s">
        <v>71</v>
      </c>
      <c r="I49" s="34"/>
      <c r="J49" s="31"/>
      <c r="K49" s="34"/>
      <c r="L49" s="31"/>
      <c r="M49" s="34"/>
      <c r="N49" s="30" t="s">
        <v>1295</v>
      </c>
      <c r="O49" s="34"/>
      <c r="P49" s="31"/>
      <c r="Q49" s="34"/>
      <c r="R49" s="31"/>
      <c r="S49" s="34" t="s">
        <v>87</v>
      </c>
      <c r="T49" s="31"/>
      <c r="U49" s="34" t="s">
        <v>915</v>
      </c>
      <c r="V49" s="31"/>
      <c r="W49" s="34"/>
      <c r="X49" s="31" t="s">
        <v>401</v>
      </c>
      <c r="Y49" s="34"/>
      <c r="Z49" s="31"/>
      <c r="AA49" s="34"/>
      <c r="AB49" s="31"/>
      <c r="AC49" s="34"/>
      <c r="AD49" s="31"/>
      <c r="AE49" s="34"/>
      <c r="AF49" s="31"/>
      <c r="AG49" s="34"/>
      <c r="AH49" s="31"/>
      <c r="AI49" s="34" t="s">
        <v>202</v>
      </c>
      <c r="AJ49" s="31"/>
      <c r="AK49" s="34"/>
      <c r="AL49" s="31" t="s">
        <v>217</v>
      </c>
      <c r="AM49" s="34"/>
      <c r="AN49" s="31"/>
      <c r="AO49" s="34" t="s">
        <v>497</v>
      </c>
      <c r="AP49" s="31" t="s">
        <v>1231</v>
      </c>
      <c r="AQ49" s="34"/>
      <c r="AR49" s="31"/>
      <c r="AS49" s="34" t="s">
        <v>60</v>
      </c>
      <c r="AT49" s="31"/>
      <c r="AU49" s="34"/>
      <c r="AV49" s="31" t="s">
        <v>199</v>
      </c>
      <c r="AW49" s="34" t="s">
        <v>865</v>
      </c>
      <c r="AX49" s="31"/>
      <c r="AY49" s="34"/>
      <c r="AZ49" s="31"/>
      <c r="BA49" s="34" t="s">
        <v>351</v>
      </c>
      <c r="BB49" s="31"/>
      <c r="BC49" s="34"/>
      <c r="BD49" s="31"/>
      <c r="BE49" s="34"/>
      <c r="BF49" s="31"/>
      <c r="BG49" s="34" t="s">
        <v>911</v>
      </c>
      <c r="BH49" s="31"/>
      <c r="BI49" s="34"/>
      <c r="BJ49" s="31" t="s">
        <v>321</v>
      </c>
      <c r="BK49" s="34" t="s">
        <v>148</v>
      </c>
      <c r="BL49" s="31"/>
      <c r="BM49" s="34"/>
      <c r="BN49" s="31"/>
      <c r="BO49" s="34"/>
      <c r="BP49" s="31"/>
      <c r="BQ49" s="34" t="s">
        <v>391</v>
      </c>
      <c r="BR49" s="31"/>
      <c r="BS49" s="34"/>
      <c r="BT49" s="31"/>
      <c r="BU49" s="34"/>
      <c r="BV49" s="31" t="s">
        <v>330</v>
      </c>
      <c r="BW49" s="34" t="s">
        <v>532</v>
      </c>
      <c r="BX49" s="31" t="s">
        <v>280</v>
      </c>
      <c r="BY49" s="34"/>
      <c r="BZ49" s="31"/>
      <c r="CA49" s="34" t="s">
        <v>853</v>
      </c>
      <c r="CB49" s="31"/>
      <c r="CC49" s="34"/>
      <c r="CD49" s="31"/>
      <c r="CE49" s="34" t="s">
        <v>275</v>
      </c>
      <c r="CF49" s="31"/>
      <c r="CG49" s="34"/>
      <c r="CH49" s="31"/>
      <c r="CI49" s="34"/>
      <c r="CJ49" s="31" t="s">
        <v>323</v>
      </c>
      <c r="CK49" s="34"/>
      <c r="CL49" s="31"/>
      <c r="CM49" s="34"/>
      <c r="CN49" s="31" t="s">
        <v>487</v>
      </c>
      <c r="CO49" s="34"/>
      <c r="CP49" s="31"/>
      <c r="CQ49" s="34"/>
      <c r="CR49" s="31" t="s">
        <v>261</v>
      </c>
      <c r="CS49" s="34" t="s">
        <v>892</v>
      </c>
      <c r="CT49" s="31"/>
      <c r="CU49" s="34" t="s">
        <v>99</v>
      </c>
      <c r="CV49" s="31" t="s">
        <v>852</v>
      </c>
      <c r="CW49" s="34"/>
      <c r="CX49" s="31"/>
      <c r="CY49" s="34"/>
      <c r="CZ49" s="31"/>
      <c r="DA49" s="34"/>
      <c r="DB49" s="31"/>
      <c r="DC49" s="34"/>
      <c r="DD49" s="31"/>
      <c r="DE49" s="34" t="s">
        <v>134</v>
      </c>
      <c r="DF49" s="31"/>
      <c r="DG49" s="34" t="s">
        <v>37</v>
      </c>
      <c r="DH49" s="31"/>
      <c r="DI49" s="34"/>
      <c r="DJ49" s="31" t="s">
        <v>272</v>
      </c>
      <c r="DK49" s="34"/>
      <c r="DL49" s="31" t="s">
        <v>428</v>
      </c>
      <c r="DM49" s="34"/>
      <c r="DN49" s="31" t="s">
        <v>868</v>
      </c>
      <c r="DO49" s="34"/>
      <c r="DP49" s="31"/>
      <c r="DQ49" s="34"/>
      <c r="DR49" s="31"/>
      <c r="DS49" s="34"/>
      <c r="DT49" s="31"/>
      <c r="DU49" s="34" t="s">
        <v>267</v>
      </c>
      <c r="DV49" s="31" t="s">
        <v>109</v>
      </c>
      <c r="DW49" s="34" t="s">
        <v>895</v>
      </c>
      <c r="DX49" s="31" t="s">
        <v>932</v>
      </c>
      <c r="DY49" s="34"/>
      <c r="DZ49" s="31"/>
      <c r="EA49" s="34" t="s">
        <v>595</v>
      </c>
      <c r="EB49" s="31"/>
      <c r="EC49" s="34"/>
      <c r="ED49" s="31"/>
      <c r="EE49" s="34" t="s">
        <v>83</v>
      </c>
      <c r="EF49" s="31" t="s">
        <v>357</v>
      </c>
      <c r="EG49" s="34" t="s">
        <v>413</v>
      </c>
      <c r="EH49" s="31" t="s">
        <v>250</v>
      </c>
      <c r="EI49" s="34"/>
      <c r="EJ49" s="31" t="s">
        <v>136</v>
      </c>
      <c r="EK49" s="34"/>
      <c r="EL49" s="31"/>
      <c r="EM49" s="34"/>
      <c r="EN49" s="31"/>
      <c r="EO49" s="34"/>
      <c r="EP49" s="31"/>
      <c r="EQ49" s="34"/>
      <c r="ER49" s="31"/>
      <c r="ES49" s="34" t="s">
        <v>935</v>
      </c>
      <c r="ET49" s="31"/>
      <c r="EU49" s="34"/>
      <c r="EV49" s="31" t="s">
        <v>286</v>
      </c>
      <c r="EW49" s="34" t="s">
        <v>983</v>
      </c>
      <c r="EX49" s="31"/>
      <c r="EY49" s="34" t="s">
        <v>559</v>
      </c>
      <c r="EZ49" s="31"/>
      <c r="FA49" s="34"/>
      <c r="FB49" s="31"/>
      <c r="FC49" s="34"/>
      <c r="FD49" s="31" t="s">
        <v>484</v>
      </c>
      <c r="FE49" s="34"/>
      <c r="FF49" s="31"/>
      <c r="FG49" s="34"/>
      <c r="FH49" s="31"/>
      <c r="FI49" s="34" t="s">
        <v>354</v>
      </c>
      <c r="FJ49" s="31"/>
      <c r="FK49" s="34" t="s">
        <v>341</v>
      </c>
      <c r="FL49" s="31"/>
      <c r="FM49" s="34"/>
      <c r="FN49" s="31" t="s">
        <v>465</v>
      </c>
      <c r="FO49" s="34"/>
      <c r="FP49" s="31"/>
      <c r="FQ49" s="34" t="s">
        <v>171</v>
      </c>
      <c r="FR49" s="31"/>
      <c r="FS49" s="39"/>
      <c r="FT49" s="39"/>
      <c r="FU49" s="34" t="s">
        <v>630</v>
      </c>
      <c r="FV49" s="31"/>
      <c r="FW49" s="34" t="s">
        <v>886</v>
      </c>
      <c r="FX49" s="31"/>
      <c r="FY49" s="34"/>
      <c r="FZ49" s="31"/>
      <c r="GA49" s="34"/>
      <c r="GB49" s="31"/>
      <c r="GC49" s="34" t="s">
        <v>491</v>
      </c>
      <c r="GD49" s="31"/>
      <c r="GE49" s="34"/>
      <c r="GF49" s="31"/>
      <c r="GG49" s="34"/>
      <c r="GH49" s="31"/>
      <c r="GI49" s="34" t="s">
        <v>454</v>
      </c>
      <c r="GJ49" s="31"/>
      <c r="GK49" s="34"/>
      <c r="GL49" s="31" t="s">
        <v>106</v>
      </c>
      <c r="GM49" s="34" t="s">
        <v>501</v>
      </c>
      <c r="GN49" s="31"/>
      <c r="GO49" s="34" t="s">
        <v>96</v>
      </c>
      <c r="GP49" s="31"/>
      <c r="GQ49" s="34"/>
      <c r="GR49" s="31"/>
      <c r="GS49" s="34"/>
      <c r="GT49" s="31"/>
      <c r="GU49" s="34"/>
      <c r="GV49" s="31"/>
      <c r="GW49" s="34" t="s">
        <v>227</v>
      </c>
      <c r="GX49" s="31"/>
      <c r="GY49" s="34"/>
      <c r="GZ49" s="31" t="s">
        <v>894</v>
      </c>
      <c r="HA49" s="34"/>
      <c r="HB49" s="31" t="s">
        <v>333</v>
      </c>
      <c r="HC49" s="34"/>
      <c r="HD49" s="30" t="s">
        <v>102</v>
      </c>
      <c r="HE49" s="34" t="s">
        <v>901</v>
      </c>
      <c r="HF49" s="31"/>
      <c r="HG49" s="34" t="s">
        <v>925</v>
      </c>
      <c r="HH49" s="31" t="s">
        <v>297</v>
      </c>
      <c r="HI49" s="34"/>
      <c r="HJ49" s="31" t="s">
        <v>1055</v>
      </c>
      <c r="HK49" s="34" t="s">
        <v>77</v>
      </c>
      <c r="HL49" s="31"/>
      <c r="HM49" s="34"/>
      <c r="HN49" s="31"/>
      <c r="HO49" s="34" t="s">
        <v>523</v>
      </c>
      <c r="HP49" s="31"/>
      <c r="HQ49" s="34" t="s">
        <v>1303</v>
      </c>
      <c r="HR49" s="31"/>
      <c r="HS49" s="34" t="s">
        <v>195</v>
      </c>
      <c r="HT49" s="31"/>
      <c r="HU49" s="34" t="s">
        <v>183</v>
      </c>
      <c r="HV49" s="31"/>
      <c r="HW49" s="34"/>
      <c r="HX49" s="39" t="s">
        <v>163</v>
      </c>
      <c r="HY49" s="39" t="s">
        <v>877</v>
      </c>
      <c r="HZ49" s="31"/>
      <c r="IA49" s="34" t="s">
        <v>544</v>
      </c>
      <c r="IB49" s="31"/>
      <c r="IC49" s="34" t="s">
        <v>856</v>
      </c>
      <c r="ID49" s="31" t="s">
        <v>118</v>
      </c>
      <c r="IE49" s="34"/>
      <c r="IF49" s="31"/>
      <c r="IG49" s="34"/>
      <c r="IH49" s="31"/>
      <c r="II49" s="34"/>
      <c r="IJ49" s="31"/>
      <c r="IK49" s="34"/>
      <c r="IL49" s="31"/>
      <c r="IM49" s="34" t="s">
        <v>175</v>
      </c>
      <c r="IN49" s="31"/>
      <c r="IO49" s="34"/>
      <c r="IP49" s="31" t="s">
        <v>45</v>
      </c>
      <c r="IQ49" s="34"/>
      <c r="IR49" s="31"/>
      <c r="IS49" s="34"/>
      <c r="IT49" s="31" t="s">
        <v>855</v>
      </c>
      <c r="IU49" s="34"/>
      <c r="IV49" s="31" t="s">
        <v>315</v>
      </c>
      <c r="IW49" s="34"/>
      <c r="IX49" s="31"/>
      <c r="IY49" s="34"/>
      <c r="IZ49" s="31" t="s">
        <v>944</v>
      </c>
      <c r="JA49" s="34" t="s">
        <v>871</v>
      </c>
      <c r="JB49" s="36" t="s">
        <v>885</v>
      </c>
    </row>
    <row r="50" spans="1:262" ht="30" customHeight="1" x14ac:dyDescent="0.25">
      <c r="A50" s="26" t="s">
        <v>1278</v>
      </c>
      <c r="B50" s="48" t="str">
        <f t="shared" si="1"/>
        <v>1st Choice Development
Advanced Alternative Energy Solutions
Albion Power Company
Alpha Energy Management, Inc.
Ambrose Construction Inc
Ameresco Solar
Apollo Home Performance
Sonoma
Bright Power
California Solar Integrators, Inc.
California State Development
Centrica Business Solutions
Citadel Roofing &amp; Solar
Clean Factor Energy
Climate Solar Solution
Climatec
Communication Infrastructure Corporation (CIC)
Cool Earth Solar
Corona Solar
DC Solar Electric, Inc
DEL SOL NRG, INC.
Earthwise Energy Solutions
EDF Renewables Distributed Solutions
Enable Energy, Inc.
Enel X North America
Energy Independence Group
Energy Innovative Solutions LLC
Engie Services US
First Response Solar
ForeFront Power
Freevolt
Fresco Solar
Fresh Energy Systems
Gold Rush Energy Solutions
Green Water and Power
GRID Alternatives
GS Homes
Horizon Solar Power
Hot Watts Technology
Ilum Solar
Infinity Energy Inc
Innovative Energy Systems (IES)
J&amp;J Electric DBA Vital Energy Solutions, LLC
Jag Solar
Jonas Energy Solutions
Kota Construction
Kuubix Energy, Inc.
LA Solar Group
Laibach Solar
LLUMETEC
Mack Electric/Gardner Energy
Mei renewables Inc
MEI Renewables, Inc.
Michael &amp; Sun Solar Inc
North State Solar Energy Construction
Northern Pacific Power Systems
NRG Clean Power
Pac Solar Corporation
Pacific Rim ConstructioRAM SOLAR
PacificWest Energy Solutions, Inc.
Photon Brothers
Promise Energy Inc
Pure Power Solutions
REC Solar
Sage Energy Consulting
Sarter Construction &amp; Design, Inc / Off the Grid Design / Sol Lux Alpha
Semper Solaris
Simmitri, Inc
Slingshot Power
Solar Craft
Solar Gain West LLC
Solar Optimum Inc
Solar Pros Inc.
Solar Savings Direct
Solar Symphony Construction Inc
Solarcraft
SolarWinds Energy
SonoMarin Solar &amp; Electric
Spreck Energy
Starseed Electric
Stem, Inc.
Stronghold Engineering
Sun Light &amp; Power
Sun Power by Ambrose
Sun River Solar
Sunce Energy Solutions, Inc.
Sungenix Energy Solutions
Sunnova Energy
SunPower by Hooked On Solar
SunPower Corporation
Suntegrity Solar
Sunterra Solar Inc
Sunworks
Sustainable Technologies
Sustineo
Swell Energy
Symmetric Energy / Solar Winds Energy
Synergy Power
Synergy Solar &amp; Electrical Systems Inc
Taylor Energy Systems, Inc.
Trinity Power
Urban Energy Inc
V3 Electric Inc
Vivint Solar
West Coast Solar
Westcoast Solar Energy
Westhaven Inc.
Wired Into The Future, Inc.
Xero Solar
Zero Energy Associates</v>
      </c>
      <c r="C50" s="29" t="s">
        <v>857</v>
      </c>
      <c r="D50" s="31"/>
      <c r="E50" s="34"/>
      <c r="F50" s="31"/>
      <c r="G50" s="34"/>
      <c r="H50" s="31" t="s">
        <v>71</v>
      </c>
      <c r="I50" s="34"/>
      <c r="J50" s="31"/>
      <c r="K50" s="34" t="s">
        <v>458</v>
      </c>
      <c r="L50" s="31"/>
      <c r="M50" s="34"/>
      <c r="N50" s="30" t="s">
        <v>1295</v>
      </c>
      <c r="O50" s="34"/>
      <c r="P50" s="31"/>
      <c r="Q50" s="34"/>
      <c r="R50" s="31"/>
      <c r="S50" s="34" t="s">
        <v>87</v>
      </c>
      <c r="T50" s="31" t="s">
        <v>427</v>
      </c>
      <c r="U50" s="34" t="s">
        <v>915</v>
      </c>
      <c r="V50" s="31" t="s">
        <v>1278</v>
      </c>
      <c r="W50" s="34"/>
      <c r="X50" s="31"/>
      <c r="Y50" s="34"/>
      <c r="Z50" s="31"/>
      <c r="AA50" s="34"/>
      <c r="AB50" s="31"/>
      <c r="AC50" s="34"/>
      <c r="AD50" s="31"/>
      <c r="AE50" s="34"/>
      <c r="AF50" s="31"/>
      <c r="AG50" s="34"/>
      <c r="AH50" s="31"/>
      <c r="AI50" s="34" t="s">
        <v>202</v>
      </c>
      <c r="AJ50" s="31"/>
      <c r="AK50" s="34"/>
      <c r="AL50" s="31"/>
      <c r="AM50" s="34"/>
      <c r="AN50" s="31"/>
      <c r="AO50" s="34" t="s">
        <v>497</v>
      </c>
      <c r="AP50" s="31" t="s">
        <v>1231</v>
      </c>
      <c r="AQ50" s="34"/>
      <c r="AR50" s="31"/>
      <c r="AS50" s="34" t="s">
        <v>60</v>
      </c>
      <c r="AT50" s="31"/>
      <c r="AU50" s="34"/>
      <c r="AV50" s="31" t="s">
        <v>199</v>
      </c>
      <c r="AW50" s="34" t="s">
        <v>865</v>
      </c>
      <c r="AX50" s="31"/>
      <c r="AY50" s="34"/>
      <c r="AZ50" s="31" t="s">
        <v>397</v>
      </c>
      <c r="BA50" s="34" t="s">
        <v>351</v>
      </c>
      <c r="BB50" s="31"/>
      <c r="BC50" s="34"/>
      <c r="BD50" s="31"/>
      <c r="BE50" s="34" t="s">
        <v>1215</v>
      </c>
      <c r="BF50" s="31" t="s">
        <v>529</v>
      </c>
      <c r="BG50" s="34" t="s">
        <v>911</v>
      </c>
      <c r="BH50" s="31"/>
      <c r="BI50" s="34"/>
      <c r="BJ50" s="31" t="s">
        <v>321</v>
      </c>
      <c r="BK50" s="34" t="s">
        <v>148</v>
      </c>
      <c r="BL50" s="31"/>
      <c r="BM50" s="34"/>
      <c r="BN50" s="31" t="s">
        <v>258</v>
      </c>
      <c r="BO50" s="34"/>
      <c r="BP50" s="31"/>
      <c r="BQ50" s="34" t="s">
        <v>391</v>
      </c>
      <c r="BR50" s="31"/>
      <c r="BS50" s="34"/>
      <c r="BT50" s="31"/>
      <c r="BU50" s="34"/>
      <c r="BV50" s="31" t="s">
        <v>330</v>
      </c>
      <c r="BW50" s="34" t="s">
        <v>532</v>
      </c>
      <c r="BX50" s="31" t="s">
        <v>280</v>
      </c>
      <c r="BY50" s="34" t="s">
        <v>211</v>
      </c>
      <c r="BZ50" s="31"/>
      <c r="CA50" s="34" t="s">
        <v>853</v>
      </c>
      <c r="CB50" s="31"/>
      <c r="CC50" s="34"/>
      <c r="CD50" s="31" t="s">
        <v>526</v>
      </c>
      <c r="CE50" s="34" t="s">
        <v>275</v>
      </c>
      <c r="CF50" s="31" t="s">
        <v>253</v>
      </c>
      <c r="CG50" s="34"/>
      <c r="CH50" s="31" t="s">
        <v>929</v>
      </c>
      <c r="CI50" s="34" t="s">
        <v>876</v>
      </c>
      <c r="CJ50" s="31"/>
      <c r="CK50" s="34"/>
      <c r="CL50" s="31"/>
      <c r="CM50" s="34"/>
      <c r="CN50" s="31" t="s">
        <v>487</v>
      </c>
      <c r="CO50" s="34"/>
      <c r="CP50" s="31"/>
      <c r="CQ50" s="34"/>
      <c r="CR50" s="31"/>
      <c r="CS50" s="34" t="s">
        <v>892</v>
      </c>
      <c r="CT50" s="31"/>
      <c r="CU50" s="34" t="s">
        <v>99</v>
      </c>
      <c r="CV50" s="31" t="s">
        <v>852</v>
      </c>
      <c r="CW50" s="34"/>
      <c r="CX50" s="31"/>
      <c r="CY50" s="34"/>
      <c r="CZ50" s="31"/>
      <c r="DA50" s="34"/>
      <c r="DB50" s="31"/>
      <c r="DC50" s="34"/>
      <c r="DD50" s="31"/>
      <c r="DE50" s="34" t="s">
        <v>134</v>
      </c>
      <c r="DF50" s="31"/>
      <c r="DG50" s="34" t="s">
        <v>37</v>
      </c>
      <c r="DH50" s="31"/>
      <c r="DI50" s="34"/>
      <c r="DJ50" s="31" t="s">
        <v>272</v>
      </c>
      <c r="DK50" s="34"/>
      <c r="DL50" s="31" t="s">
        <v>428</v>
      </c>
      <c r="DM50" s="34"/>
      <c r="DN50" s="31" t="s">
        <v>868</v>
      </c>
      <c r="DO50" s="34" t="s">
        <v>234</v>
      </c>
      <c r="DP50" s="31" t="s">
        <v>867</v>
      </c>
      <c r="DQ50" s="34"/>
      <c r="DR50" s="31" t="s">
        <v>908</v>
      </c>
      <c r="DS50" s="34"/>
      <c r="DT50" s="31"/>
      <c r="DU50" s="34" t="s">
        <v>267</v>
      </c>
      <c r="DV50" s="31" t="s">
        <v>109</v>
      </c>
      <c r="DW50" s="34" t="s">
        <v>895</v>
      </c>
      <c r="DX50" s="31" t="s">
        <v>932</v>
      </c>
      <c r="DY50" s="34"/>
      <c r="DZ50" s="31"/>
      <c r="EA50" s="34" t="s">
        <v>595</v>
      </c>
      <c r="EB50" s="31"/>
      <c r="EC50" s="34"/>
      <c r="ED50" s="31"/>
      <c r="EE50" s="34" t="s">
        <v>83</v>
      </c>
      <c r="EF50" s="31" t="s">
        <v>357</v>
      </c>
      <c r="EG50" s="34" t="s">
        <v>413</v>
      </c>
      <c r="EH50" s="31" t="s">
        <v>250</v>
      </c>
      <c r="EI50" s="34"/>
      <c r="EJ50" s="31"/>
      <c r="EK50" s="34"/>
      <c r="EL50" s="31"/>
      <c r="EM50" s="34"/>
      <c r="EN50" s="31"/>
      <c r="EO50" s="34"/>
      <c r="EP50" s="31"/>
      <c r="EQ50" s="34" t="s">
        <v>363</v>
      </c>
      <c r="ER50" s="31" t="s">
        <v>468</v>
      </c>
      <c r="ES50" s="34" t="s">
        <v>935</v>
      </c>
      <c r="ET50" s="31"/>
      <c r="EU50" s="34"/>
      <c r="EV50" s="31" t="s">
        <v>286</v>
      </c>
      <c r="EW50" s="34" t="s">
        <v>983</v>
      </c>
      <c r="EX50" s="31"/>
      <c r="EY50" s="34" t="s">
        <v>559</v>
      </c>
      <c r="EZ50" s="31"/>
      <c r="FA50" s="34"/>
      <c r="FB50" s="31" t="s">
        <v>921</v>
      </c>
      <c r="FC50" s="34"/>
      <c r="FD50" s="31" t="s">
        <v>484</v>
      </c>
      <c r="FE50" s="34" t="s">
        <v>909</v>
      </c>
      <c r="FF50" s="31"/>
      <c r="FG50" s="34"/>
      <c r="FH50" s="31"/>
      <c r="FI50" s="34" t="s">
        <v>354</v>
      </c>
      <c r="FJ50" s="31"/>
      <c r="FK50" s="34"/>
      <c r="FL50" s="31"/>
      <c r="FM50" s="34"/>
      <c r="FN50" s="31" t="s">
        <v>465</v>
      </c>
      <c r="FO50" s="34"/>
      <c r="FP50" s="31"/>
      <c r="FQ50" s="34" t="s">
        <v>171</v>
      </c>
      <c r="FR50" s="31"/>
      <c r="FS50" s="39"/>
      <c r="FT50" s="39"/>
      <c r="FU50" s="34" t="s">
        <v>630</v>
      </c>
      <c r="FV50" s="31"/>
      <c r="FW50" s="34"/>
      <c r="FX50" s="31"/>
      <c r="FY50" s="34" t="s">
        <v>562</v>
      </c>
      <c r="FZ50" s="31"/>
      <c r="GA50" s="34"/>
      <c r="GB50" s="31"/>
      <c r="GC50" s="34"/>
      <c r="GD50" s="31"/>
      <c r="GE50" s="34" t="s">
        <v>91</v>
      </c>
      <c r="GF50" s="31"/>
      <c r="GG50" s="34" t="s">
        <v>864</v>
      </c>
      <c r="GH50" s="31"/>
      <c r="GI50" s="34" t="s">
        <v>454</v>
      </c>
      <c r="GJ50" s="31"/>
      <c r="GK50" s="34"/>
      <c r="GL50" s="31" t="s">
        <v>106</v>
      </c>
      <c r="GM50" s="34" t="s">
        <v>501</v>
      </c>
      <c r="GN50" s="31"/>
      <c r="GO50" s="34" t="s">
        <v>96</v>
      </c>
      <c r="GP50" s="31"/>
      <c r="GQ50" s="34" t="s">
        <v>244</v>
      </c>
      <c r="GR50" s="31" t="s">
        <v>318</v>
      </c>
      <c r="GS50" s="34"/>
      <c r="GT50" s="31"/>
      <c r="GU50" s="34"/>
      <c r="GV50" s="31"/>
      <c r="GW50" s="34" t="s">
        <v>227</v>
      </c>
      <c r="GX50" s="31"/>
      <c r="GY50" s="34" t="s">
        <v>556</v>
      </c>
      <c r="GZ50" s="31" t="s">
        <v>894</v>
      </c>
      <c r="HA50" s="34"/>
      <c r="HB50" s="31" t="s">
        <v>333</v>
      </c>
      <c r="HC50" s="34"/>
      <c r="HD50" s="30" t="s">
        <v>102</v>
      </c>
      <c r="HE50" s="34" t="s">
        <v>901</v>
      </c>
      <c r="HF50" s="31" t="s">
        <v>337</v>
      </c>
      <c r="HG50" s="34" t="s">
        <v>925</v>
      </c>
      <c r="HH50" s="31" t="s">
        <v>297</v>
      </c>
      <c r="HI50" s="34"/>
      <c r="HJ50" s="31" t="s">
        <v>1055</v>
      </c>
      <c r="HK50" s="34" t="s">
        <v>77</v>
      </c>
      <c r="HL50" s="31"/>
      <c r="HM50" s="34"/>
      <c r="HN50" s="31"/>
      <c r="HO50" s="34" t="s">
        <v>523</v>
      </c>
      <c r="HP50" s="31"/>
      <c r="HQ50" s="34" t="s">
        <v>1303</v>
      </c>
      <c r="HR50" s="31"/>
      <c r="HS50" s="34" t="s">
        <v>195</v>
      </c>
      <c r="HT50" s="31"/>
      <c r="HU50" s="34"/>
      <c r="HV50" s="31"/>
      <c r="HW50" s="34" t="s">
        <v>913</v>
      </c>
      <c r="HX50" s="39" t="s">
        <v>163</v>
      </c>
      <c r="HY50" s="39" t="s">
        <v>877</v>
      </c>
      <c r="HZ50" s="31"/>
      <c r="IA50" s="34" t="s">
        <v>544</v>
      </c>
      <c r="IB50" s="31" t="s">
        <v>952</v>
      </c>
      <c r="IC50" s="34" t="s">
        <v>856</v>
      </c>
      <c r="ID50" s="31" t="s">
        <v>118</v>
      </c>
      <c r="IE50" s="34"/>
      <c r="IF50" s="31" t="s">
        <v>513</v>
      </c>
      <c r="IG50" s="34" t="s">
        <v>408</v>
      </c>
      <c r="IH50" s="31" t="s">
        <v>436</v>
      </c>
      <c r="II50" s="34"/>
      <c r="IJ50" s="31"/>
      <c r="IK50" s="34" t="s">
        <v>937</v>
      </c>
      <c r="IL50" s="31" t="s">
        <v>80</v>
      </c>
      <c r="IM50" s="34" t="s">
        <v>175</v>
      </c>
      <c r="IN50" s="31"/>
      <c r="IO50" s="34"/>
      <c r="IP50" s="31" t="s">
        <v>45</v>
      </c>
      <c r="IQ50" s="34"/>
      <c r="IR50" s="31"/>
      <c r="IS50" s="34"/>
      <c r="IT50" s="31" t="s">
        <v>855</v>
      </c>
      <c r="IU50" s="34" t="s">
        <v>480</v>
      </c>
      <c r="IV50" s="31" t="s">
        <v>315</v>
      </c>
      <c r="IW50" s="34" t="s">
        <v>927</v>
      </c>
      <c r="IX50" s="31" t="s">
        <v>344</v>
      </c>
      <c r="IY50" s="34"/>
      <c r="IZ50" s="31"/>
      <c r="JA50" s="34"/>
      <c r="JB50" s="36" t="s">
        <v>885</v>
      </c>
    </row>
    <row r="51" spans="1:262" ht="30" customHeight="1" x14ac:dyDescent="0.25">
      <c r="A51" s="27" t="s">
        <v>1279</v>
      </c>
      <c r="B51" s="48" t="str">
        <f t="shared" si="1"/>
        <v>1st Choice Development
Alpha Energy Management, Inc.
Ameresco Solar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Future Energy Corporation
Gold Rush Energy Solutions
Golden State Power
Green Water and Power
GRID Alternatives
GS Homes
I Love My Solar
Ilum Solar
Infinity Energy Inc
Kota Construction
Kuubix Energy, Inc.
LA Solar Group
Laibach Solar
LLUMETEC
Mack Electric/Gardner Energy
North State Solar Energy Construction
NRG Clean Power
Pac Solar Corporation
Pacific Rim ConstructioRAM SOLAR
Promise Energy Inc
Quality Home Services
REC Solar
Sage Energy Consulting
Semper Solaris
Sierra Pacific
SIG Solar
Solar Gain West LLC
Solar Optimum Inc
Solar Pros Inc.
Solar Savings Direct
SolarWinds Energy
Spreck Energy
Stem, Inc.
Stronghold Engineering
Sunnova Energy
SunPower by Hooked On Solar
SunPower by Quality Home Services
SunPower Corporation
Sunterra Solar Inc
Sunworks
Swell Energy
Synergy Power
Trinity Power
V3 Electric Inc
Vivint Solar
West Coast Solar
Westhaven Inc.
Your Energy Source (YES)</v>
      </c>
      <c r="C51" s="29" t="s">
        <v>857</v>
      </c>
      <c r="D51" s="31"/>
      <c r="E51" s="34"/>
      <c r="F51" s="31"/>
      <c r="G51" s="34"/>
      <c r="H51" s="31"/>
      <c r="I51" s="34"/>
      <c r="J51" s="31"/>
      <c r="K51" s="34"/>
      <c r="L51" s="31"/>
      <c r="M51" s="34"/>
      <c r="N51" s="30" t="s">
        <v>1295</v>
      </c>
      <c r="O51" s="34"/>
      <c r="P51" s="31"/>
      <c r="Q51" s="34"/>
      <c r="R51" s="31"/>
      <c r="S51" s="34"/>
      <c r="T51" s="31" t="s">
        <v>427</v>
      </c>
      <c r="U51" s="34" t="s">
        <v>915</v>
      </c>
      <c r="V51" s="31"/>
      <c r="W51" s="34"/>
      <c r="X51" s="31"/>
      <c r="Y51" s="34"/>
      <c r="Z51" s="31"/>
      <c r="AA51" s="34"/>
      <c r="AB51" s="31"/>
      <c r="AC51" s="34"/>
      <c r="AD51" s="31"/>
      <c r="AE51" s="34"/>
      <c r="AF51" s="31"/>
      <c r="AG51" s="34"/>
      <c r="AH51" s="31"/>
      <c r="AI51" s="34" t="s">
        <v>202</v>
      </c>
      <c r="AJ51" s="31"/>
      <c r="AK51" s="34"/>
      <c r="AL51" s="31" t="s">
        <v>217</v>
      </c>
      <c r="AM51" s="34"/>
      <c r="AN51" s="31"/>
      <c r="AO51" s="34" t="s">
        <v>497</v>
      </c>
      <c r="AP51" s="31" t="s">
        <v>1231</v>
      </c>
      <c r="AQ51" s="34"/>
      <c r="AR51" s="31"/>
      <c r="AS51" s="34" t="s">
        <v>60</v>
      </c>
      <c r="AT51" s="31" t="s">
        <v>205</v>
      </c>
      <c r="AU51" s="34"/>
      <c r="AV51" s="31" t="s">
        <v>199</v>
      </c>
      <c r="AW51" s="34"/>
      <c r="AX51" s="31"/>
      <c r="AY51" s="34"/>
      <c r="AZ51" s="31"/>
      <c r="BA51" s="34" t="s">
        <v>351</v>
      </c>
      <c r="BB51" s="31"/>
      <c r="BC51" s="34"/>
      <c r="BD51" s="31"/>
      <c r="BE51" s="34" t="s">
        <v>1215</v>
      </c>
      <c r="BF51" s="31"/>
      <c r="BG51" s="34"/>
      <c r="BH51" s="31"/>
      <c r="BI51" s="34"/>
      <c r="BJ51" s="31" t="s">
        <v>321</v>
      </c>
      <c r="BK51" s="34"/>
      <c r="BL51" s="31"/>
      <c r="BM51" s="34"/>
      <c r="BN51" s="31"/>
      <c r="BO51" s="34"/>
      <c r="BP51" s="31"/>
      <c r="BQ51" s="34" t="s">
        <v>391</v>
      </c>
      <c r="BR51" s="31"/>
      <c r="BS51" s="34"/>
      <c r="BT51" s="31"/>
      <c r="BU51" s="34"/>
      <c r="BV51" s="31" t="s">
        <v>330</v>
      </c>
      <c r="BW51" s="34" t="s">
        <v>532</v>
      </c>
      <c r="BX51" s="31" t="s">
        <v>280</v>
      </c>
      <c r="BY51" s="34"/>
      <c r="BZ51" s="31"/>
      <c r="CA51" s="34" t="s">
        <v>853</v>
      </c>
      <c r="CB51" s="31"/>
      <c r="CC51" s="34"/>
      <c r="CD51" s="31"/>
      <c r="CE51" s="34" t="s">
        <v>275</v>
      </c>
      <c r="CF51" s="31" t="s">
        <v>253</v>
      </c>
      <c r="CG51" s="34"/>
      <c r="CH51" s="31"/>
      <c r="CI51" s="34"/>
      <c r="CJ51" s="31" t="s">
        <v>323</v>
      </c>
      <c r="CK51" s="34"/>
      <c r="CL51" s="31"/>
      <c r="CM51" s="34"/>
      <c r="CN51" s="31" t="s">
        <v>487</v>
      </c>
      <c r="CO51" s="34"/>
      <c r="CP51" s="31" t="s">
        <v>296</v>
      </c>
      <c r="CQ51" s="34"/>
      <c r="CR51" s="31"/>
      <c r="CS51" s="34" t="s">
        <v>892</v>
      </c>
      <c r="CT51" s="31"/>
      <c r="CU51" s="34" t="s">
        <v>99</v>
      </c>
      <c r="CV51" s="31" t="s">
        <v>852</v>
      </c>
      <c r="CW51" s="34"/>
      <c r="CX51" s="31"/>
      <c r="CY51" s="34"/>
      <c r="CZ51" s="31"/>
      <c r="DA51" s="34"/>
      <c r="DB51" s="31"/>
      <c r="DC51" s="34"/>
      <c r="DD51" s="31"/>
      <c r="DE51" s="34"/>
      <c r="DF51" s="31"/>
      <c r="DG51" s="34"/>
      <c r="DH51" s="31"/>
      <c r="DI51" s="34" t="s">
        <v>858</v>
      </c>
      <c r="DJ51" s="31" t="s">
        <v>272</v>
      </c>
      <c r="DK51" s="34"/>
      <c r="DL51" s="31" t="s">
        <v>428</v>
      </c>
      <c r="DM51" s="34"/>
      <c r="DN51" s="31"/>
      <c r="DO51" s="34"/>
      <c r="DP51" s="31"/>
      <c r="DQ51" s="34"/>
      <c r="DR51" s="31"/>
      <c r="DS51" s="34"/>
      <c r="DT51" s="31"/>
      <c r="DU51" s="34" t="s">
        <v>267</v>
      </c>
      <c r="DV51" s="31" t="s">
        <v>109</v>
      </c>
      <c r="DW51" s="34" t="s">
        <v>895</v>
      </c>
      <c r="DX51" s="31" t="s">
        <v>932</v>
      </c>
      <c r="DY51" s="34"/>
      <c r="DZ51" s="31"/>
      <c r="EA51" s="34" t="s">
        <v>595</v>
      </c>
      <c r="EB51" s="31"/>
      <c r="EC51" s="34"/>
      <c r="ED51" s="31"/>
      <c r="EE51" s="34" t="s">
        <v>83</v>
      </c>
      <c r="EF51" s="31"/>
      <c r="EG51" s="34"/>
      <c r="EH51" s="31"/>
      <c r="EI51" s="34"/>
      <c r="EJ51" s="31"/>
      <c r="EK51" s="34"/>
      <c r="EL51" s="31"/>
      <c r="EM51" s="34"/>
      <c r="EN51" s="31"/>
      <c r="EO51" s="34"/>
      <c r="EP51" s="31"/>
      <c r="EQ51" s="34" t="s">
        <v>363</v>
      </c>
      <c r="ER51" s="31"/>
      <c r="ES51" s="34" t="s">
        <v>935</v>
      </c>
      <c r="ET51" s="31"/>
      <c r="EU51" s="34"/>
      <c r="EV51" s="31" t="s">
        <v>286</v>
      </c>
      <c r="EW51" s="34" t="s">
        <v>983</v>
      </c>
      <c r="EX51" s="31"/>
      <c r="EY51" s="34"/>
      <c r="EZ51" s="31"/>
      <c r="FA51" s="34"/>
      <c r="FB51" s="31"/>
      <c r="FC51" s="34"/>
      <c r="FD51" s="31" t="s">
        <v>484</v>
      </c>
      <c r="FE51" s="34"/>
      <c r="FF51" s="31" t="s">
        <v>439</v>
      </c>
      <c r="FG51" s="34"/>
      <c r="FH51" s="31"/>
      <c r="FI51" s="34" t="s">
        <v>354</v>
      </c>
      <c r="FJ51" s="31"/>
      <c r="FK51" s="34"/>
      <c r="FL51" s="31"/>
      <c r="FM51" s="34"/>
      <c r="FN51" s="31" t="s">
        <v>465</v>
      </c>
      <c r="FO51" s="34"/>
      <c r="FP51" s="31"/>
      <c r="FQ51" s="34"/>
      <c r="FR51" s="31"/>
      <c r="FS51" s="39"/>
      <c r="FT51" s="39"/>
      <c r="FU51" s="34" t="s">
        <v>630</v>
      </c>
      <c r="FV51" s="31"/>
      <c r="FW51" s="34" t="s">
        <v>886</v>
      </c>
      <c r="FX51" s="31" t="s">
        <v>934</v>
      </c>
      <c r="FY51" s="34"/>
      <c r="FZ51" s="31"/>
      <c r="GA51" s="34"/>
      <c r="GB51" s="31"/>
      <c r="GC51" s="34"/>
      <c r="GD51" s="31"/>
      <c r="GE51" s="34"/>
      <c r="GF51" s="31"/>
      <c r="GG51" s="34"/>
      <c r="GH51" s="31"/>
      <c r="GI51" s="34" t="s">
        <v>454</v>
      </c>
      <c r="GJ51" s="31"/>
      <c r="GK51" s="34"/>
      <c r="GL51" s="31" t="s">
        <v>106</v>
      </c>
      <c r="GM51" s="34" t="s">
        <v>501</v>
      </c>
      <c r="GN51" s="31"/>
      <c r="GO51" s="34" t="s">
        <v>96</v>
      </c>
      <c r="GP51" s="31"/>
      <c r="GQ51" s="34"/>
      <c r="GR51" s="31"/>
      <c r="GS51" s="34"/>
      <c r="GT51" s="31"/>
      <c r="GU51" s="34"/>
      <c r="GV51" s="31"/>
      <c r="GW51" s="34" t="s">
        <v>227</v>
      </c>
      <c r="GX51" s="31"/>
      <c r="GY51" s="34"/>
      <c r="GZ51" s="31" t="s">
        <v>894</v>
      </c>
      <c r="HA51" s="34"/>
      <c r="HB51" s="31"/>
      <c r="HC51" s="34"/>
      <c r="HD51" s="30" t="s">
        <v>102</v>
      </c>
      <c r="HE51" s="34" t="s">
        <v>901</v>
      </c>
      <c r="HF51" s="31"/>
      <c r="HG51" s="34"/>
      <c r="HH51" s="31"/>
      <c r="HI51" s="34"/>
      <c r="HJ51" s="31"/>
      <c r="HK51" s="34"/>
      <c r="HL51" s="31"/>
      <c r="HM51" s="34"/>
      <c r="HN51" s="31"/>
      <c r="HO51" s="34" t="s">
        <v>523</v>
      </c>
      <c r="HP51" s="31"/>
      <c r="HQ51" s="34" t="s">
        <v>1303</v>
      </c>
      <c r="HR51" s="31" t="s">
        <v>1302</v>
      </c>
      <c r="HS51" s="34" t="s">
        <v>195</v>
      </c>
      <c r="HT51" s="31"/>
      <c r="HU51" s="34"/>
      <c r="HV51" s="31"/>
      <c r="HW51" s="34"/>
      <c r="HX51" s="39" t="s">
        <v>163</v>
      </c>
      <c r="HY51" s="39" t="s">
        <v>877</v>
      </c>
      <c r="HZ51" s="31"/>
      <c r="IA51" s="34"/>
      <c r="IB51" s="31"/>
      <c r="IC51" s="34" t="s">
        <v>856</v>
      </c>
      <c r="ID51" s="31"/>
      <c r="IE51" s="34"/>
      <c r="IF51" s="31" t="s">
        <v>513</v>
      </c>
      <c r="IG51" s="34"/>
      <c r="IH51" s="31"/>
      <c r="II51" s="34"/>
      <c r="IJ51" s="31"/>
      <c r="IK51" s="34" t="s">
        <v>937</v>
      </c>
      <c r="IL51" s="31"/>
      <c r="IM51" s="34" t="s">
        <v>175</v>
      </c>
      <c r="IN51" s="31"/>
      <c r="IO51" s="34"/>
      <c r="IP51" s="31" t="s">
        <v>45</v>
      </c>
      <c r="IQ51" s="34"/>
      <c r="IR51" s="31"/>
      <c r="IS51" s="34"/>
      <c r="IT51" s="31" t="s">
        <v>855</v>
      </c>
      <c r="IU51" s="34"/>
      <c r="IV51" s="31" t="s">
        <v>315</v>
      </c>
      <c r="IW51" s="34"/>
      <c r="IX51" s="31"/>
      <c r="IY51" s="34"/>
      <c r="IZ51" s="31"/>
      <c r="JA51" s="34" t="s">
        <v>871</v>
      </c>
      <c r="JB51" s="36"/>
    </row>
    <row r="52" spans="1:262" ht="30" customHeight="1" x14ac:dyDescent="0.25">
      <c r="A52" s="26" t="s">
        <v>1280</v>
      </c>
      <c r="B52" s="48" t="str">
        <f t="shared" si="1"/>
        <v>1st Choice Development
ACR Solar
Alpha Energy Management, Inc.
Apollo Home Performance
Aztec Solar Inc.
Bright Power
California Solar Electric Cooperative
California Solar Integrators, Inc.
California State Development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Kota Construction
Kuubix Energy, Inc.
LA Solar Group
Laibach Solar
LLUMETEC
Mack Electric/Gardner Energy
North State Solar Energy Construction
NRG Clean Power
Pacific Rim ConstructioRAM SOLAR
Promise Energy Inc
REC Solar
Sage Energy Consulting
Semper Solaris
Sierra Pacific
Solar Gain West LLC
Solar Optimum Inc
Solar Pros Inc.
Solar Savings Direct
SolarNorcal, LLC
Spreck Energy
Stem, Inc.
Stronghold Engineering
Sun Power by Ambrose
Sun River Solar
Sunnova Energy
SunPower by Hooked On Solar
SunPower Corporation
SunStor
Sunterra Solar Inc
Sunworks
Sustainable Energy Group
Swell Energy
V3 Electric Inc
Vivint Solar
West Coast Solar
Westhaven Inc.
Your Energy Source (YES)</v>
      </c>
      <c r="C52" s="29" t="s">
        <v>857</v>
      </c>
      <c r="D52" s="31"/>
      <c r="E52" s="34"/>
      <c r="F52" s="31"/>
      <c r="G52" s="34" t="s">
        <v>866</v>
      </c>
      <c r="H52" s="31"/>
      <c r="I52" s="34"/>
      <c r="J52" s="31"/>
      <c r="K52" s="34"/>
      <c r="L52" s="31"/>
      <c r="M52" s="34"/>
      <c r="N52" s="30" t="s">
        <v>1295</v>
      </c>
      <c r="O52" s="34"/>
      <c r="P52" s="31"/>
      <c r="Q52" s="34"/>
      <c r="R52" s="31"/>
      <c r="S52" s="34"/>
      <c r="T52" s="31"/>
      <c r="U52" s="34" t="s">
        <v>915</v>
      </c>
      <c r="V52" s="31"/>
      <c r="W52" s="34"/>
      <c r="X52" s="31" t="s">
        <v>401</v>
      </c>
      <c r="Y52" s="34"/>
      <c r="Z52" s="31"/>
      <c r="AA52" s="34"/>
      <c r="AB52" s="31"/>
      <c r="AC52" s="34"/>
      <c r="AD52" s="31"/>
      <c r="AE52" s="34"/>
      <c r="AF52" s="31"/>
      <c r="AG52" s="34"/>
      <c r="AH52" s="31"/>
      <c r="AI52" s="34" t="s">
        <v>202</v>
      </c>
      <c r="AJ52" s="31"/>
      <c r="AK52" s="34"/>
      <c r="AL52" s="31"/>
      <c r="AM52" s="34"/>
      <c r="AN52" s="31" t="s">
        <v>505</v>
      </c>
      <c r="AO52" s="34" t="s">
        <v>497</v>
      </c>
      <c r="AP52" s="31" t="s">
        <v>1231</v>
      </c>
      <c r="AQ52" s="34"/>
      <c r="AR52" s="31"/>
      <c r="AS52" s="34" t="s">
        <v>60</v>
      </c>
      <c r="AT52" s="31" t="s">
        <v>205</v>
      </c>
      <c r="AU52" s="34"/>
      <c r="AV52" s="31" t="s">
        <v>199</v>
      </c>
      <c r="AW52" s="34"/>
      <c r="AX52" s="31"/>
      <c r="AY52" s="34"/>
      <c r="AZ52" s="31"/>
      <c r="BA52" s="34" t="s">
        <v>351</v>
      </c>
      <c r="BB52" s="31"/>
      <c r="BC52" s="34"/>
      <c r="BD52" s="31"/>
      <c r="BE52" s="34"/>
      <c r="BF52" s="31"/>
      <c r="BG52" s="34"/>
      <c r="BH52" s="31"/>
      <c r="BI52" s="34"/>
      <c r="BJ52" s="31" t="s">
        <v>321</v>
      </c>
      <c r="BK52" s="34"/>
      <c r="BL52" s="31"/>
      <c r="BM52" s="34"/>
      <c r="BN52" s="31"/>
      <c r="BO52" s="34"/>
      <c r="BP52" s="31"/>
      <c r="BQ52" s="34" t="s">
        <v>391</v>
      </c>
      <c r="BR52" s="31"/>
      <c r="BS52" s="34"/>
      <c r="BT52" s="31"/>
      <c r="BU52" s="34"/>
      <c r="BV52" s="31" t="s">
        <v>330</v>
      </c>
      <c r="BW52" s="34" t="s">
        <v>532</v>
      </c>
      <c r="BX52" s="31" t="s">
        <v>280</v>
      </c>
      <c r="BY52" s="34"/>
      <c r="BZ52" s="31"/>
      <c r="CA52" s="34" t="s">
        <v>853</v>
      </c>
      <c r="CB52" s="31"/>
      <c r="CC52" s="34"/>
      <c r="CD52" s="31"/>
      <c r="CE52" s="34" t="s">
        <v>275</v>
      </c>
      <c r="CF52" s="31"/>
      <c r="CG52" s="34"/>
      <c r="CH52" s="31"/>
      <c r="CI52" s="34"/>
      <c r="CJ52" s="31"/>
      <c r="CK52" s="34"/>
      <c r="CL52" s="31"/>
      <c r="CM52" s="34"/>
      <c r="CN52" s="31" t="s">
        <v>487</v>
      </c>
      <c r="CO52" s="34"/>
      <c r="CP52" s="31"/>
      <c r="CQ52" s="34"/>
      <c r="CR52" s="31"/>
      <c r="CS52" s="34" t="s">
        <v>892</v>
      </c>
      <c r="CT52" s="31"/>
      <c r="CU52" s="34" t="s">
        <v>99</v>
      </c>
      <c r="CV52" s="31" t="s">
        <v>852</v>
      </c>
      <c r="CW52" s="34" t="s">
        <v>167</v>
      </c>
      <c r="CX52" s="31"/>
      <c r="CY52" s="34"/>
      <c r="CZ52" s="31"/>
      <c r="DA52" s="34"/>
      <c r="DB52" s="31"/>
      <c r="DC52" s="34"/>
      <c r="DD52" s="31"/>
      <c r="DE52" s="34" t="s">
        <v>134</v>
      </c>
      <c r="DF52" s="31"/>
      <c r="DG52" s="34"/>
      <c r="DH52" s="31"/>
      <c r="DI52" s="34"/>
      <c r="DJ52" s="31" t="s">
        <v>272</v>
      </c>
      <c r="DK52" s="34"/>
      <c r="DL52" s="31" t="s">
        <v>428</v>
      </c>
      <c r="DM52" s="34"/>
      <c r="DN52" s="31"/>
      <c r="DO52" s="34"/>
      <c r="DP52" s="31"/>
      <c r="DQ52" s="34"/>
      <c r="DR52" s="31"/>
      <c r="DS52" s="34"/>
      <c r="DT52" s="31"/>
      <c r="DU52" s="34" t="s">
        <v>267</v>
      </c>
      <c r="DV52" s="31" t="s">
        <v>109</v>
      </c>
      <c r="DW52" s="34" t="s">
        <v>895</v>
      </c>
      <c r="DX52" s="31" t="s">
        <v>932</v>
      </c>
      <c r="DY52" s="34"/>
      <c r="DZ52" s="31"/>
      <c r="EA52" s="34" t="s">
        <v>595</v>
      </c>
      <c r="EB52" s="31"/>
      <c r="EC52" s="34"/>
      <c r="ED52" s="31"/>
      <c r="EE52" s="34" t="s">
        <v>83</v>
      </c>
      <c r="EF52" s="31"/>
      <c r="EG52" s="34"/>
      <c r="EH52" s="31"/>
      <c r="EI52" s="34"/>
      <c r="EJ52" s="31"/>
      <c r="EK52" s="34"/>
      <c r="EL52" s="31"/>
      <c r="EM52" s="34"/>
      <c r="EN52" s="31"/>
      <c r="EO52" s="34"/>
      <c r="EP52" s="31"/>
      <c r="EQ52" s="34" t="s">
        <v>363</v>
      </c>
      <c r="ER52" s="31"/>
      <c r="ES52" s="34" t="s">
        <v>935</v>
      </c>
      <c r="ET52" s="31"/>
      <c r="EU52" s="34"/>
      <c r="EV52" s="31"/>
      <c r="EW52" s="34" t="s">
        <v>983</v>
      </c>
      <c r="EX52" s="31"/>
      <c r="EY52" s="34"/>
      <c r="EZ52" s="31"/>
      <c r="FA52" s="34"/>
      <c r="FB52" s="31"/>
      <c r="FC52" s="34"/>
      <c r="FD52" s="31" t="s">
        <v>484</v>
      </c>
      <c r="FE52" s="34"/>
      <c r="FF52" s="31"/>
      <c r="FG52" s="34"/>
      <c r="FH52" s="31"/>
      <c r="FI52" s="34" t="s">
        <v>354</v>
      </c>
      <c r="FJ52" s="31"/>
      <c r="FK52" s="34"/>
      <c r="FL52" s="31"/>
      <c r="FM52" s="34"/>
      <c r="FN52" s="31" t="s">
        <v>465</v>
      </c>
      <c r="FO52" s="34"/>
      <c r="FP52" s="31"/>
      <c r="FQ52" s="34"/>
      <c r="FR52" s="31"/>
      <c r="FS52" s="39"/>
      <c r="FT52" s="39"/>
      <c r="FU52" s="34" t="s">
        <v>630</v>
      </c>
      <c r="FV52" s="31"/>
      <c r="FW52" s="34" t="s">
        <v>886</v>
      </c>
      <c r="FX52" s="31"/>
      <c r="FY52" s="34"/>
      <c r="FZ52" s="31"/>
      <c r="GA52" s="34"/>
      <c r="GB52" s="31"/>
      <c r="GC52" s="34"/>
      <c r="GD52" s="31"/>
      <c r="GE52" s="34"/>
      <c r="GF52" s="31"/>
      <c r="GG52" s="34"/>
      <c r="GH52" s="31"/>
      <c r="GI52" s="34" t="s">
        <v>454</v>
      </c>
      <c r="GJ52" s="31"/>
      <c r="GK52" s="34"/>
      <c r="GL52" s="31" t="s">
        <v>106</v>
      </c>
      <c r="GM52" s="34" t="s">
        <v>501</v>
      </c>
      <c r="GN52" s="31"/>
      <c r="GO52" s="34" t="s">
        <v>96</v>
      </c>
      <c r="GP52" s="31"/>
      <c r="GQ52" s="34"/>
      <c r="GR52" s="31"/>
      <c r="GS52" s="34"/>
      <c r="GT52" s="31"/>
      <c r="GU52" s="34" t="s">
        <v>160</v>
      </c>
      <c r="GV52" s="31"/>
      <c r="GW52" s="34"/>
      <c r="GX52" s="31"/>
      <c r="GY52" s="34"/>
      <c r="GZ52" s="31" t="s">
        <v>894</v>
      </c>
      <c r="HA52" s="34"/>
      <c r="HB52" s="31"/>
      <c r="HC52" s="34"/>
      <c r="HD52" s="30" t="s">
        <v>102</v>
      </c>
      <c r="HE52" s="34" t="s">
        <v>901</v>
      </c>
      <c r="HF52" s="31"/>
      <c r="HG52" s="34" t="s">
        <v>925</v>
      </c>
      <c r="HH52" s="31" t="s">
        <v>297</v>
      </c>
      <c r="HI52" s="34"/>
      <c r="HJ52" s="31"/>
      <c r="HK52" s="34"/>
      <c r="HL52" s="31"/>
      <c r="HM52" s="34"/>
      <c r="HN52" s="31"/>
      <c r="HO52" s="34" t="s">
        <v>523</v>
      </c>
      <c r="HP52" s="31"/>
      <c r="HQ52" s="34" t="s">
        <v>1303</v>
      </c>
      <c r="HR52" s="31"/>
      <c r="HS52" s="34" t="s">
        <v>195</v>
      </c>
      <c r="HT52" s="31"/>
      <c r="HU52" s="34" t="s">
        <v>183</v>
      </c>
      <c r="HV52" s="31"/>
      <c r="HW52" s="34"/>
      <c r="HX52" s="39" t="s">
        <v>163</v>
      </c>
      <c r="HY52" s="39" t="s">
        <v>877</v>
      </c>
      <c r="HZ52" s="31" t="s">
        <v>49</v>
      </c>
      <c r="IA52" s="34"/>
      <c r="IB52" s="31"/>
      <c r="IC52" s="34" t="s">
        <v>856</v>
      </c>
      <c r="ID52" s="31"/>
      <c r="IE52" s="34"/>
      <c r="IF52" s="31"/>
      <c r="IG52" s="34"/>
      <c r="IH52" s="31"/>
      <c r="II52" s="34"/>
      <c r="IJ52" s="31"/>
      <c r="IK52" s="34"/>
      <c r="IL52" s="31"/>
      <c r="IM52" s="34" t="s">
        <v>175</v>
      </c>
      <c r="IN52" s="31"/>
      <c r="IO52" s="34"/>
      <c r="IP52" s="31" t="s">
        <v>45</v>
      </c>
      <c r="IQ52" s="34"/>
      <c r="IR52" s="31"/>
      <c r="IS52" s="34"/>
      <c r="IT52" s="31" t="s">
        <v>855</v>
      </c>
      <c r="IU52" s="34"/>
      <c r="IV52" s="31" t="s">
        <v>315</v>
      </c>
      <c r="IW52" s="34"/>
      <c r="IX52" s="31"/>
      <c r="IY52" s="34"/>
      <c r="IZ52" s="31"/>
      <c r="JA52" s="34" t="s">
        <v>871</v>
      </c>
      <c r="JB52" s="36"/>
    </row>
    <row r="53" spans="1:262" ht="30" customHeight="1" x14ac:dyDescent="0.25">
      <c r="A53" s="27" t="s">
        <v>1281</v>
      </c>
      <c r="B53" s="48" t="str">
        <f t="shared" si="1"/>
        <v>1st Choice Development
Alpha Energy Management, Inc.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Green Water and Power
GRID Alternatives
GS Homes
GTi Solar Construction
Ilum Solar
Infinity Energy Inc
Kuubix Energy, Inc.
LA Solar Group
Laibach Solar
LLUMETEC
Mack Electric/Gardner Energy
North State Solar Energy Construction
NRG Clean Power
Promise Energy Inc
REC Solar
Royal Aire Inc
Sage Energy Consulting
Solar Gain West LLC
Solar Pros Inc.
Stem, Inc.
Stronghold Engineering
Sunnova Energy
Sunon energy corporation
SunPower Corporation
Sunterra Solar Inc
Sunworks
Swell Energy
V3 Electric Inc
Vector Green Power and Materials LLC
Vivint Solar
Westhaven Inc.</v>
      </c>
      <c r="C53" s="29" t="s">
        <v>857</v>
      </c>
      <c r="D53" s="31"/>
      <c r="E53" s="34"/>
      <c r="F53" s="31"/>
      <c r="G53" s="34"/>
      <c r="H53" s="31"/>
      <c r="I53" s="34"/>
      <c r="J53" s="31"/>
      <c r="K53" s="34"/>
      <c r="L53" s="31"/>
      <c r="M53" s="34"/>
      <c r="N53" s="30" t="s">
        <v>1295</v>
      </c>
      <c r="O53" s="34"/>
      <c r="P53" s="31"/>
      <c r="Q53" s="34"/>
      <c r="R53" s="31"/>
      <c r="S53" s="34"/>
      <c r="T53" s="31"/>
      <c r="U53" s="34" t="s">
        <v>915</v>
      </c>
      <c r="V53" s="31"/>
      <c r="W53" s="34"/>
      <c r="X53" s="31"/>
      <c r="Y53" s="34" t="s">
        <v>471</v>
      </c>
      <c r="Z53" s="31"/>
      <c r="AA53" s="34"/>
      <c r="AB53" s="31"/>
      <c r="AC53" s="34"/>
      <c r="AD53" s="31"/>
      <c r="AE53" s="34"/>
      <c r="AF53" s="31"/>
      <c r="AG53" s="34"/>
      <c r="AH53" s="31"/>
      <c r="AI53" s="34" t="s">
        <v>202</v>
      </c>
      <c r="AJ53" s="31"/>
      <c r="AK53" s="34"/>
      <c r="AL53" s="31"/>
      <c r="AM53" s="34"/>
      <c r="AN53" s="31"/>
      <c r="AO53" s="34" t="s">
        <v>497</v>
      </c>
      <c r="AP53" s="31" t="s">
        <v>1231</v>
      </c>
      <c r="AQ53" s="34"/>
      <c r="AR53" s="31"/>
      <c r="AS53" s="34" t="s">
        <v>60</v>
      </c>
      <c r="AT53" s="31" t="s">
        <v>205</v>
      </c>
      <c r="AU53" s="34"/>
      <c r="AV53" s="31"/>
      <c r="AW53" s="34"/>
      <c r="AX53" s="31"/>
      <c r="AY53" s="34"/>
      <c r="AZ53" s="31"/>
      <c r="BA53" s="34" t="s">
        <v>351</v>
      </c>
      <c r="BB53" s="31"/>
      <c r="BC53" s="34"/>
      <c r="BD53" s="31"/>
      <c r="BE53" s="34"/>
      <c r="BF53" s="31"/>
      <c r="BG53" s="34"/>
      <c r="BH53" s="31"/>
      <c r="BI53" s="34"/>
      <c r="BJ53" s="31" t="s">
        <v>321</v>
      </c>
      <c r="BK53" s="34"/>
      <c r="BL53" s="31"/>
      <c r="BM53" s="34"/>
      <c r="BN53" s="31"/>
      <c r="BO53" s="34"/>
      <c r="BP53" s="31"/>
      <c r="BQ53" s="34" t="s">
        <v>391</v>
      </c>
      <c r="BR53" s="31"/>
      <c r="BS53" s="34"/>
      <c r="BT53" s="31"/>
      <c r="BU53" s="34"/>
      <c r="BV53" s="31"/>
      <c r="BW53" s="34" t="s">
        <v>532</v>
      </c>
      <c r="BX53" s="31" t="s">
        <v>280</v>
      </c>
      <c r="BY53" s="34"/>
      <c r="BZ53" s="31"/>
      <c r="CA53" s="34" t="s">
        <v>853</v>
      </c>
      <c r="CB53" s="31"/>
      <c r="CC53" s="34"/>
      <c r="CD53" s="31"/>
      <c r="CE53" s="34" t="s">
        <v>275</v>
      </c>
      <c r="CF53" s="31"/>
      <c r="CG53" s="34"/>
      <c r="CH53" s="31"/>
      <c r="CI53" s="34"/>
      <c r="CJ53" s="31"/>
      <c r="CK53" s="34"/>
      <c r="CL53" s="31"/>
      <c r="CM53" s="34"/>
      <c r="CN53" s="31" t="s">
        <v>487</v>
      </c>
      <c r="CO53" s="34"/>
      <c r="CP53" s="31"/>
      <c r="CQ53" s="34"/>
      <c r="CR53" s="31"/>
      <c r="CS53" s="34" t="s">
        <v>892</v>
      </c>
      <c r="CT53" s="31"/>
      <c r="CU53" s="34" t="s">
        <v>99</v>
      </c>
      <c r="CV53" s="31" t="s">
        <v>852</v>
      </c>
      <c r="CW53" s="34" t="s">
        <v>167</v>
      </c>
      <c r="CX53" s="31"/>
      <c r="CY53" s="34"/>
      <c r="CZ53" s="31"/>
      <c r="DA53" s="34"/>
      <c r="DB53" s="31"/>
      <c r="DC53" s="34"/>
      <c r="DD53" s="31"/>
      <c r="DE53" s="34"/>
      <c r="DF53" s="31"/>
      <c r="DG53" s="34"/>
      <c r="DH53" s="31"/>
      <c r="DI53" s="34"/>
      <c r="DJ53" s="31" t="s">
        <v>272</v>
      </c>
      <c r="DK53" s="34"/>
      <c r="DL53" s="31" t="s">
        <v>428</v>
      </c>
      <c r="DM53" s="34"/>
      <c r="DN53" s="31"/>
      <c r="DO53" s="34"/>
      <c r="DP53" s="31"/>
      <c r="DQ53" s="34"/>
      <c r="DR53" s="31"/>
      <c r="DS53" s="34"/>
      <c r="DT53" s="31"/>
      <c r="DU53" s="34"/>
      <c r="DV53" s="31" t="s">
        <v>109</v>
      </c>
      <c r="DW53" s="34" t="s">
        <v>895</v>
      </c>
      <c r="DX53" s="31" t="s">
        <v>932</v>
      </c>
      <c r="DY53" s="34"/>
      <c r="DZ53" s="31"/>
      <c r="EA53" s="34" t="s">
        <v>595</v>
      </c>
      <c r="EB53" s="31"/>
      <c r="EC53" s="34"/>
      <c r="ED53" s="31"/>
      <c r="EE53" s="34" t="s">
        <v>83</v>
      </c>
      <c r="EF53" s="31"/>
      <c r="EG53" s="34"/>
      <c r="EH53" s="31"/>
      <c r="EI53" s="34"/>
      <c r="EJ53" s="31"/>
      <c r="EK53" s="34"/>
      <c r="EL53" s="31"/>
      <c r="EM53" s="34"/>
      <c r="EN53" s="31"/>
      <c r="EO53" s="34"/>
      <c r="EP53" s="31"/>
      <c r="EQ53" s="34" t="s">
        <v>363</v>
      </c>
      <c r="ER53" s="31"/>
      <c r="ES53" s="34" t="s">
        <v>935</v>
      </c>
      <c r="ET53" s="31"/>
      <c r="EU53" s="34"/>
      <c r="EV53" s="31"/>
      <c r="EW53" s="34"/>
      <c r="EX53" s="31"/>
      <c r="EY53" s="34"/>
      <c r="EZ53" s="31"/>
      <c r="FA53" s="34"/>
      <c r="FB53" s="31"/>
      <c r="FC53" s="34"/>
      <c r="FD53" s="31" t="s">
        <v>484</v>
      </c>
      <c r="FE53" s="34"/>
      <c r="FF53" s="31"/>
      <c r="FG53" s="34"/>
      <c r="FH53" s="31"/>
      <c r="FI53" s="34" t="s">
        <v>354</v>
      </c>
      <c r="FJ53" s="31"/>
      <c r="FK53" s="34"/>
      <c r="FL53" s="31"/>
      <c r="FM53" s="34" t="s">
        <v>312</v>
      </c>
      <c r="FN53" s="31" t="s">
        <v>465</v>
      </c>
      <c r="FO53" s="34"/>
      <c r="FP53" s="31"/>
      <c r="FQ53" s="34"/>
      <c r="FR53" s="31"/>
      <c r="FS53" s="39"/>
      <c r="FT53" s="39"/>
      <c r="FU53" s="34"/>
      <c r="FV53" s="31"/>
      <c r="FW53" s="34"/>
      <c r="FX53" s="31"/>
      <c r="FY53" s="34"/>
      <c r="FZ53" s="31"/>
      <c r="GA53" s="34"/>
      <c r="GB53" s="31"/>
      <c r="GC53" s="34"/>
      <c r="GD53" s="31"/>
      <c r="GE53" s="34"/>
      <c r="GF53" s="31"/>
      <c r="GG53" s="34"/>
      <c r="GH53" s="31"/>
      <c r="GI53" s="34" t="s">
        <v>454</v>
      </c>
      <c r="GJ53" s="31"/>
      <c r="GK53" s="34"/>
      <c r="GL53" s="31"/>
      <c r="GM53" s="34" t="s">
        <v>501</v>
      </c>
      <c r="GN53" s="31"/>
      <c r="GO53" s="34"/>
      <c r="GP53" s="31"/>
      <c r="GQ53" s="34"/>
      <c r="GR53" s="31"/>
      <c r="GS53" s="34"/>
      <c r="GT53" s="31"/>
      <c r="GU53" s="34"/>
      <c r="GV53" s="31"/>
      <c r="GW53" s="34"/>
      <c r="GX53" s="31"/>
      <c r="GY53" s="34"/>
      <c r="GZ53" s="31"/>
      <c r="HA53" s="34"/>
      <c r="HB53" s="31"/>
      <c r="HC53" s="34"/>
      <c r="HD53" s="30" t="s">
        <v>102</v>
      </c>
      <c r="HE53" s="34" t="s">
        <v>901</v>
      </c>
      <c r="HF53" s="31"/>
      <c r="HG53" s="34"/>
      <c r="HH53" s="31"/>
      <c r="HI53" s="34"/>
      <c r="HJ53" s="31"/>
      <c r="HK53" s="34"/>
      <c r="HL53" s="31"/>
      <c r="HM53" s="34"/>
      <c r="HN53" s="31"/>
      <c r="HO53" s="34" t="s">
        <v>523</v>
      </c>
      <c r="HP53" s="31" t="s">
        <v>56</v>
      </c>
      <c r="HQ53" s="34"/>
      <c r="HR53" s="31"/>
      <c r="HS53" s="34" t="s">
        <v>195</v>
      </c>
      <c r="HT53" s="31"/>
      <c r="HU53" s="34"/>
      <c r="HV53" s="31"/>
      <c r="HW53" s="34"/>
      <c r="HX53" s="39" t="s">
        <v>163</v>
      </c>
      <c r="HY53" s="39" t="s">
        <v>877</v>
      </c>
      <c r="HZ53" s="31"/>
      <c r="IA53" s="34"/>
      <c r="IB53" s="31"/>
      <c r="IC53" s="34" t="s">
        <v>856</v>
      </c>
      <c r="ID53" s="31"/>
      <c r="IE53" s="34"/>
      <c r="IF53" s="31"/>
      <c r="IG53" s="34"/>
      <c r="IH53" s="31"/>
      <c r="II53" s="34"/>
      <c r="IJ53" s="31"/>
      <c r="IK53" s="34"/>
      <c r="IL53" s="31"/>
      <c r="IM53" s="34" t="s">
        <v>175</v>
      </c>
      <c r="IN53" s="31"/>
      <c r="IO53" s="34" t="s">
        <v>230</v>
      </c>
      <c r="IP53" s="31" t="s">
        <v>45</v>
      </c>
      <c r="IQ53" s="34"/>
      <c r="IR53" s="31"/>
      <c r="IS53" s="34"/>
      <c r="IT53" s="31"/>
      <c r="IU53" s="34"/>
      <c r="IV53" s="31" t="s">
        <v>315</v>
      </c>
      <c r="IW53" s="34"/>
      <c r="IX53" s="31"/>
      <c r="IY53" s="34"/>
      <c r="IZ53" s="31"/>
      <c r="JA53" s="34"/>
      <c r="JB53" s="36"/>
    </row>
    <row r="54" spans="1:262" ht="30" customHeight="1" x14ac:dyDescent="0.25">
      <c r="A54" s="26" t="s">
        <v>1282</v>
      </c>
      <c r="B54" s="48" t="str">
        <f t="shared" si="1"/>
        <v xml:space="preserve">1st Choice Development
Alpha Energy Management, Inc.
Apollo Home Performance
B&amp;B Solar
Bright Power
California Solar Integrators, Inc.
California State Development
Centrica Business Solutions
Climatec
DC Solar Electric, Inc
EDF Renewables Distributed Solutions
Enel X North America
Energy Independence Group
Engie Services US
ForeFront Power
Gold Rush Energy Solutions
Green Water and Power
GRID Alternatives
GS Homes
GTi Solar Construction
Haven Electric
Ilum Solar
Infinity Energy Inc
Innovative Energy Systems (IES)
Kuubix Energy, Inc.
LA Solar Group
Laibach Solar
LLUMETEC
Mack Electric/Gardner Energy
North State Solar Energy Construction
NRG Clean Power
Promise Energy Inc
REC Solar
Sage Energy Consulting
Sarter Construction &amp; Design, Inc / Off the Grid Design / Sol Lux Alpha
Solar Gain West LLC
Solar Pros Inc.
Stem, Inc.
Stronghold Engineering
Sunnova Energy
SunPower Corporation
Sunterra Solar Inc
Sunworks
Swell Energy
Vector Green Power and Materials LLC
Wesley Hodges General Contractor (Part owner of Six Rivers Solar) </v>
      </c>
      <c r="C54" s="29" t="s">
        <v>857</v>
      </c>
      <c r="D54" s="31"/>
      <c r="E54" s="34"/>
      <c r="F54" s="31"/>
      <c r="G54" s="34"/>
      <c r="H54" s="31"/>
      <c r="I54" s="34"/>
      <c r="J54" s="31"/>
      <c r="K54" s="34"/>
      <c r="L54" s="31"/>
      <c r="M54" s="34"/>
      <c r="N54" s="30" t="s">
        <v>1295</v>
      </c>
      <c r="O54" s="34"/>
      <c r="P54" s="31"/>
      <c r="Q54" s="34"/>
      <c r="R54" s="31"/>
      <c r="S54" s="34"/>
      <c r="T54" s="31"/>
      <c r="U54" s="34" t="s">
        <v>915</v>
      </c>
      <c r="V54" s="31"/>
      <c r="W54" s="34"/>
      <c r="X54" s="31"/>
      <c r="Y54" s="34" t="s">
        <v>471</v>
      </c>
      <c r="Z54" s="31"/>
      <c r="AA54" s="34"/>
      <c r="AB54" s="31"/>
      <c r="AC54" s="34"/>
      <c r="AD54" s="31"/>
      <c r="AE54" s="34"/>
      <c r="AF54" s="31"/>
      <c r="AG54" s="34"/>
      <c r="AH54" s="31"/>
      <c r="AI54" s="34" t="s">
        <v>202</v>
      </c>
      <c r="AJ54" s="31"/>
      <c r="AK54" s="34"/>
      <c r="AL54" s="31"/>
      <c r="AM54" s="34"/>
      <c r="AN54" s="31"/>
      <c r="AO54" s="34" t="s">
        <v>497</v>
      </c>
      <c r="AP54" s="31" t="s">
        <v>1231</v>
      </c>
      <c r="AQ54" s="34"/>
      <c r="AR54" s="31"/>
      <c r="AS54" s="34" t="s">
        <v>60</v>
      </c>
      <c r="AT54" s="31"/>
      <c r="AU54" s="34"/>
      <c r="AV54" s="31"/>
      <c r="AW54" s="34"/>
      <c r="AX54" s="31"/>
      <c r="AY54" s="34"/>
      <c r="AZ54" s="31"/>
      <c r="BA54" s="34" t="s">
        <v>351</v>
      </c>
      <c r="BB54" s="31"/>
      <c r="BC54" s="34"/>
      <c r="BD54" s="31"/>
      <c r="BE54" s="34"/>
      <c r="BF54" s="31"/>
      <c r="BG54" s="34"/>
      <c r="BH54" s="31"/>
      <c r="BI54" s="34"/>
      <c r="BJ54" s="31" t="s">
        <v>321</v>
      </c>
      <c r="BK54" s="34"/>
      <c r="BL54" s="31"/>
      <c r="BM54" s="34"/>
      <c r="BN54" s="31"/>
      <c r="BO54" s="34"/>
      <c r="BP54" s="31"/>
      <c r="BQ54" s="34" t="s">
        <v>391</v>
      </c>
      <c r="BR54" s="31"/>
      <c r="BS54" s="34"/>
      <c r="BT54" s="31"/>
      <c r="BU54" s="34"/>
      <c r="BV54" s="31"/>
      <c r="BW54" s="34" t="s">
        <v>532</v>
      </c>
      <c r="BX54" s="31" t="s">
        <v>280</v>
      </c>
      <c r="BY54" s="34"/>
      <c r="BZ54" s="31"/>
      <c r="CA54" s="34" t="s">
        <v>853</v>
      </c>
      <c r="CB54" s="31"/>
      <c r="CC54" s="34"/>
      <c r="CD54" s="31"/>
      <c r="CE54" s="34" t="s">
        <v>275</v>
      </c>
      <c r="CF54" s="31"/>
      <c r="CG54" s="34"/>
      <c r="CH54" s="31"/>
      <c r="CI54" s="34"/>
      <c r="CJ54" s="31"/>
      <c r="CK54" s="34"/>
      <c r="CL54" s="31"/>
      <c r="CM54" s="34"/>
      <c r="CN54" s="31" t="s">
        <v>487</v>
      </c>
      <c r="CO54" s="34"/>
      <c r="CP54" s="31"/>
      <c r="CQ54" s="34"/>
      <c r="CR54" s="31"/>
      <c r="CS54" s="34" t="s">
        <v>892</v>
      </c>
      <c r="CT54" s="31"/>
      <c r="CU54" s="34" t="s">
        <v>99</v>
      </c>
      <c r="CV54" s="31" t="s">
        <v>852</v>
      </c>
      <c r="CW54" s="34" t="s">
        <v>167</v>
      </c>
      <c r="CX54" s="31"/>
      <c r="CY54" s="34"/>
      <c r="CZ54" s="31" t="s">
        <v>946</v>
      </c>
      <c r="DA54" s="34"/>
      <c r="DB54" s="31"/>
      <c r="DC54" s="34"/>
      <c r="DD54" s="31"/>
      <c r="DE54" s="34"/>
      <c r="DF54" s="31"/>
      <c r="DG54" s="34"/>
      <c r="DH54" s="31"/>
      <c r="DI54" s="34"/>
      <c r="DJ54" s="31" t="s">
        <v>272</v>
      </c>
      <c r="DK54" s="34"/>
      <c r="DL54" s="31" t="s">
        <v>428</v>
      </c>
      <c r="DM54" s="34"/>
      <c r="DN54" s="31" t="s">
        <v>868</v>
      </c>
      <c r="DO54" s="34"/>
      <c r="DP54" s="31"/>
      <c r="DQ54" s="34"/>
      <c r="DR54" s="31"/>
      <c r="DS54" s="34"/>
      <c r="DT54" s="31"/>
      <c r="DU54" s="34"/>
      <c r="DV54" s="31" t="s">
        <v>109</v>
      </c>
      <c r="DW54" s="34" t="s">
        <v>895</v>
      </c>
      <c r="DX54" s="31" t="s">
        <v>932</v>
      </c>
      <c r="DY54" s="34"/>
      <c r="DZ54" s="31"/>
      <c r="EA54" s="34" t="s">
        <v>595</v>
      </c>
      <c r="EB54" s="31"/>
      <c r="EC54" s="34"/>
      <c r="ED54" s="31"/>
      <c r="EE54" s="34" t="s">
        <v>83</v>
      </c>
      <c r="EF54" s="31"/>
      <c r="EG54" s="34"/>
      <c r="EH54" s="31"/>
      <c r="EI54" s="34"/>
      <c r="EJ54" s="31"/>
      <c r="EK54" s="34"/>
      <c r="EL54" s="31"/>
      <c r="EM54" s="34"/>
      <c r="EN54" s="31"/>
      <c r="EO54" s="34"/>
      <c r="EP54" s="31"/>
      <c r="EQ54" s="34" t="s">
        <v>363</v>
      </c>
      <c r="ER54" s="31"/>
      <c r="ES54" s="34" t="s">
        <v>935</v>
      </c>
      <c r="ET54" s="31"/>
      <c r="EU54" s="34"/>
      <c r="EV54" s="31"/>
      <c r="EW54" s="34"/>
      <c r="EX54" s="31"/>
      <c r="EY54" s="34"/>
      <c r="EZ54" s="31"/>
      <c r="FA54" s="34"/>
      <c r="FB54" s="31"/>
      <c r="FC54" s="34"/>
      <c r="FD54" s="31" t="s">
        <v>484</v>
      </c>
      <c r="FE54" s="34"/>
      <c r="FF54" s="31"/>
      <c r="FG54" s="34"/>
      <c r="FH54" s="31"/>
      <c r="FI54" s="34" t="s">
        <v>354</v>
      </c>
      <c r="FJ54" s="31"/>
      <c r="FK54" s="34"/>
      <c r="FL54" s="31"/>
      <c r="FM54" s="34"/>
      <c r="FN54" s="31" t="s">
        <v>465</v>
      </c>
      <c r="FO54" s="34"/>
      <c r="FP54" s="31"/>
      <c r="FQ54" s="34" t="s">
        <v>171</v>
      </c>
      <c r="FR54" s="31"/>
      <c r="FS54" s="39"/>
      <c r="FT54" s="39"/>
      <c r="FU54" s="34"/>
      <c r="FV54" s="31"/>
      <c r="FW54" s="34"/>
      <c r="FX54" s="31"/>
      <c r="FY54" s="34"/>
      <c r="FZ54" s="31"/>
      <c r="GA54" s="34"/>
      <c r="GB54" s="31"/>
      <c r="GC54" s="34"/>
      <c r="GD54" s="31"/>
      <c r="GE54" s="34"/>
      <c r="GF54" s="31"/>
      <c r="GG54" s="34"/>
      <c r="GH54" s="31"/>
      <c r="GI54" s="34" t="s">
        <v>454</v>
      </c>
      <c r="GJ54" s="31"/>
      <c r="GK54" s="34"/>
      <c r="GL54" s="31"/>
      <c r="GM54" s="34" t="s">
        <v>501</v>
      </c>
      <c r="GN54" s="31"/>
      <c r="GO54" s="34"/>
      <c r="GP54" s="31"/>
      <c r="GQ54" s="34"/>
      <c r="GR54" s="31"/>
      <c r="GS54" s="34"/>
      <c r="GT54" s="31"/>
      <c r="GU54" s="34"/>
      <c r="GV54" s="31"/>
      <c r="GW54" s="34"/>
      <c r="GX54" s="31"/>
      <c r="GY54" s="34"/>
      <c r="GZ54" s="31"/>
      <c r="HA54" s="34"/>
      <c r="HB54" s="31"/>
      <c r="HC54" s="34"/>
      <c r="HD54" s="30" t="s">
        <v>102</v>
      </c>
      <c r="HE54" s="34" t="s">
        <v>901</v>
      </c>
      <c r="HF54" s="31"/>
      <c r="HG54" s="34"/>
      <c r="HH54" s="31"/>
      <c r="HI54" s="34"/>
      <c r="HJ54" s="31"/>
      <c r="HK54" s="34"/>
      <c r="HL54" s="31"/>
      <c r="HM54" s="34"/>
      <c r="HN54" s="31"/>
      <c r="HO54" s="34" t="s">
        <v>523</v>
      </c>
      <c r="HP54" s="31"/>
      <c r="HQ54" s="34"/>
      <c r="HR54" s="31"/>
      <c r="HS54" s="34" t="s">
        <v>195</v>
      </c>
      <c r="HT54" s="31"/>
      <c r="HU54" s="34"/>
      <c r="HV54" s="31"/>
      <c r="HW54" s="34"/>
      <c r="HX54" s="39" t="s">
        <v>163</v>
      </c>
      <c r="HY54" s="39" t="s">
        <v>877</v>
      </c>
      <c r="HZ54" s="31"/>
      <c r="IA54" s="34"/>
      <c r="IB54" s="31"/>
      <c r="IC54" s="34" t="s">
        <v>856</v>
      </c>
      <c r="ID54" s="31"/>
      <c r="IE54" s="34"/>
      <c r="IF54" s="31"/>
      <c r="IG54" s="34"/>
      <c r="IH54" s="31"/>
      <c r="II54" s="34"/>
      <c r="IJ54" s="31"/>
      <c r="IK54" s="34"/>
      <c r="IL54" s="31"/>
      <c r="IM54" s="34"/>
      <c r="IN54" s="31"/>
      <c r="IO54" s="34" t="s">
        <v>230</v>
      </c>
      <c r="IP54" s="31"/>
      <c r="IQ54" s="34"/>
      <c r="IR54" s="31"/>
      <c r="IS54" s="34" t="s">
        <v>1226</v>
      </c>
      <c r="IT54" s="31"/>
      <c r="IU54" s="34"/>
      <c r="IV54" s="31"/>
      <c r="IW54" s="34"/>
      <c r="IX54" s="31"/>
      <c r="IY54" s="34"/>
      <c r="IZ54" s="31"/>
      <c r="JA54" s="34"/>
      <c r="JB54" s="36"/>
    </row>
    <row r="55" spans="1:262" ht="30" customHeight="1" x14ac:dyDescent="0.25">
      <c r="A55" s="27" t="s">
        <v>1283</v>
      </c>
      <c r="B55" s="48" t="str">
        <f t="shared" si="1"/>
        <v>1st Choice Development
A-1 Contractors Inc. dba A-1 Electric
Aeterna Energy
Airsun
Alpha Energy Management, Inc.
AltSys Solar Incorporated
Apollo Home Performance
Baker Electric
Blue Planet Water and Power Company
Bright Power
CalCom Energy
California Solar Integrators, Inc.
California State Development
Centrica Business Solutions
Chico Electric
Climatec
Communication Infrastructure Corporation (CIC)
DC Solar Electric, Inc
Donald P. Dick Air Conditioning
EDF Renewables Distributed Solutions
Enel X North America
Energy Independence Group
Engie Services US
ForeFront Power
Gold Rush Energy Solutions
Golden State Power
Green Water and Power
GRID Alternatives
GS Homes
Horizon Solar Power
Ilum Solar
Infinity Energy Inc
Kota Construction
Kuubix Energy, Inc.
LA Solar Group
Laibach Solar
LLUMETEC
Mack Electric/Gardner Energy
NRG Clean Power
Pacific Rim ConstructioRAM SOLAR
Photon Brothers
Promise Energy Inc
Quality Home Services
REC Solar
Revel Energy
RHA
Sage Energy Consulting
Semper Solaris
Solar Gain West LLC
Solar Maintenance Pros
Solar Optimum Inc
Solar Pros Inc.
Solar Symphony Construction Inc
SolTek Industries Inc.
Spreck Energy
Stem, Inc.
Stronghold Engineering
Sunnova Energy
SunPower by Quality Home Services
SunPower Corporation
Sunterra Solar Inc
Sunworks
Swell Energy
Trinity Power
V3 Electric Inc
Valley Unique Electric, Inc.
Vivint Solar
Your Energy Source (YES)</v>
      </c>
      <c r="C55" s="29" t="s">
        <v>857</v>
      </c>
      <c r="D55" s="31"/>
      <c r="E55" s="33" t="s">
        <v>240</v>
      </c>
      <c r="F55" s="31"/>
      <c r="G55" s="34"/>
      <c r="H55" s="31"/>
      <c r="I55" s="34" t="s">
        <v>1233</v>
      </c>
      <c r="J55" s="31" t="s">
        <v>907</v>
      </c>
      <c r="K55" s="34"/>
      <c r="L55" s="31"/>
      <c r="M55" s="34"/>
      <c r="N55" s="30" t="s">
        <v>1295</v>
      </c>
      <c r="O55" s="34"/>
      <c r="P55" s="31"/>
      <c r="Q55" s="34" t="s">
        <v>881</v>
      </c>
      <c r="R55" s="31"/>
      <c r="S55" s="34"/>
      <c r="T55" s="31"/>
      <c r="U55" s="34" t="s">
        <v>915</v>
      </c>
      <c r="V55" s="31"/>
      <c r="W55" s="34"/>
      <c r="X55" s="31"/>
      <c r="Y55" s="34"/>
      <c r="Z55" s="31" t="s">
        <v>883</v>
      </c>
      <c r="AA55" s="34"/>
      <c r="AB55" s="31"/>
      <c r="AC55" s="34"/>
      <c r="AD55" s="31"/>
      <c r="AE55" s="34" t="s">
        <v>943</v>
      </c>
      <c r="AF55" s="31"/>
      <c r="AG55" s="34"/>
      <c r="AH55" s="31"/>
      <c r="AI55" s="34" t="s">
        <v>202</v>
      </c>
      <c r="AJ55" s="31"/>
      <c r="AK55" s="34"/>
      <c r="AL55" s="31" t="s">
        <v>217</v>
      </c>
      <c r="AM55" s="34"/>
      <c r="AN55" s="31"/>
      <c r="AO55" s="34" t="s">
        <v>497</v>
      </c>
      <c r="AP55" s="31" t="s">
        <v>1231</v>
      </c>
      <c r="AQ55" s="34"/>
      <c r="AR55" s="31"/>
      <c r="AS55" s="34" t="s">
        <v>60</v>
      </c>
      <c r="AT55" s="31" t="s">
        <v>205</v>
      </c>
      <c r="AU55" s="34"/>
      <c r="AV55" s="31"/>
      <c r="AW55" s="34"/>
      <c r="AX55" s="31"/>
      <c r="AY55" s="34"/>
      <c r="AZ55" s="31"/>
      <c r="BA55" s="34" t="s">
        <v>351</v>
      </c>
      <c r="BB55" s="31"/>
      <c r="BC55" s="34"/>
      <c r="BD55" s="31"/>
      <c r="BE55" s="34" t="s">
        <v>1215</v>
      </c>
      <c r="BF55" s="31"/>
      <c r="BG55" s="34"/>
      <c r="BH55" s="31"/>
      <c r="BI55" s="34"/>
      <c r="BJ55" s="31" t="s">
        <v>321</v>
      </c>
      <c r="BK55" s="34"/>
      <c r="BL55" s="31" t="s">
        <v>888</v>
      </c>
      <c r="BM55" s="34"/>
      <c r="BN55" s="31"/>
      <c r="BO55" s="34"/>
      <c r="BP55" s="31"/>
      <c r="BQ55" s="34" t="s">
        <v>391</v>
      </c>
      <c r="BR55" s="31"/>
      <c r="BS55" s="34"/>
      <c r="BT55" s="31"/>
      <c r="BU55" s="34"/>
      <c r="BV55" s="31"/>
      <c r="BW55" s="34" t="s">
        <v>532</v>
      </c>
      <c r="BX55" s="31" t="s">
        <v>280</v>
      </c>
      <c r="BY55" s="34"/>
      <c r="BZ55" s="31"/>
      <c r="CA55" s="34" t="s">
        <v>853</v>
      </c>
      <c r="CB55" s="31"/>
      <c r="CC55" s="34"/>
      <c r="CD55" s="31"/>
      <c r="CE55" s="34" t="s">
        <v>275</v>
      </c>
      <c r="CF55" s="31"/>
      <c r="CG55" s="34"/>
      <c r="CH55" s="31"/>
      <c r="CI55" s="34"/>
      <c r="CJ55" s="31"/>
      <c r="CK55" s="34"/>
      <c r="CL55" s="31"/>
      <c r="CM55" s="34"/>
      <c r="CN55" s="31" t="s">
        <v>487</v>
      </c>
      <c r="CO55" s="34"/>
      <c r="CP55" s="31" t="s">
        <v>296</v>
      </c>
      <c r="CQ55" s="34"/>
      <c r="CR55" s="31"/>
      <c r="CS55" s="34" t="s">
        <v>892</v>
      </c>
      <c r="CT55" s="31"/>
      <c r="CU55" s="34" t="s">
        <v>99</v>
      </c>
      <c r="CV55" s="31" t="s">
        <v>852</v>
      </c>
      <c r="CW55" s="34"/>
      <c r="CX55" s="31"/>
      <c r="CY55" s="34"/>
      <c r="CZ55" s="31"/>
      <c r="DA55" s="34"/>
      <c r="DB55" s="31"/>
      <c r="DC55" s="34"/>
      <c r="DD55" s="31"/>
      <c r="DE55" s="34" t="s">
        <v>134</v>
      </c>
      <c r="DF55" s="31"/>
      <c r="DG55" s="34"/>
      <c r="DH55" s="31"/>
      <c r="DI55" s="34"/>
      <c r="DJ55" s="31" t="s">
        <v>272</v>
      </c>
      <c r="DK55" s="34"/>
      <c r="DL55" s="31" t="s">
        <v>428</v>
      </c>
      <c r="DM55" s="34"/>
      <c r="DN55" s="31"/>
      <c r="DO55" s="34"/>
      <c r="DP55" s="31"/>
      <c r="DQ55" s="34"/>
      <c r="DR55" s="31"/>
      <c r="DS55" s="34"/>
      <c r="DT55" s="31"/>
      <c r="DU55" s="34" t="s">
        <v>267</v>
      </c>
      <c r="DV55" s="31" t="s">
        <v>109</v>
      </c>
      <c r="DW55" s="34" t="s">
        <v>895</v>
      </c>
      <c r="DX55" s="31" t="s">
        <v>932</v>
      </c>
      <c r="DY55" s="34"/>
      <c r="DZ55" s="31"/>
      <c r="EA55" s="34" t="s">
        <v>595</v>
      </c>
      <c r="EB55" s="31"/>
      <c r="EC55" s="34"/>
      <c r="ED55" s="31"/>
      <c r="EE55" s="34" t="s">
        <v>83</v>
      </c>
      <c r="EF55" s="31"/>
      <c r="EG55" s="34"/>
      <c r="EH55" s="31"/>
      <c r="EI55" s="34"/>
      <c r="EJ55" s="31"/>
      <c r="EK55" s="34"/>
      <c r="EL55" s="31"/>
      <c r="EM55" s="34"/>
      <c r="EN55" s="31"/>
      <c r="EO55" s="34"/>
      <c r="EP55" s="31"/>
      <c r="EQ55" s="34"/>
      <c r="ER55" s="31"/>
      <c r="ES55" s="34" t="s">
        <v>935</v>
      </c>
      <c r="ET55" s="31"/>
      <c r="EU55" s="34"/>
      <c r="EV55" s="31"/>
      <c r="EW55" s="34" t="s">
        <v>983</v>
      </c>
      <c r="EX55" s="31"/>
      <c r="EY55" s="34"/>
      <c r="EZ55" s="31"/>
      <c r="FA55" s="34"/>
      <c r="FB55" s="31" t="s">
        <v>921</v>
      </c>
      <c r="FC55" s="34"/>
      <c r="FD55" s="31" t="s">
        <v>484</v>
      </c>
      <c r="FE55" s="34"/>
      <c r="FF55" s="31" t="s">
        <v>439</v>
      </c>
      <c r="FG55" s="34"/>
      <c r="FH55" s="31"/>
      <c r="FI55" s="34" t="s">
        <v>354</v>
      </c>
      <c r="FJ55" s="31"/>
      <c r="FK55" s="34" t="s">
        <v>341</v>
      </c>
      <c r="FL55" s="31" t="s">
        <v>854</v>
      </c>
      <c r="FM55" s="34"/>
      <c r="FN55" s="31" t="s">
        <v>465</v>
      </c>
      <c r="FO55" s="34"/>
      <c r="FP55" s="31"/>
      <c r="FQ55" s="34"/>
      <c r="FR55" s="31"/>
      <c r="FS55" s="39"/>
      <c r="FT55" s="39"/>
      <c r="FU55" s="34" t="s">
        <v>630</v>
      </c>
      <c r="FV55" s="31"/>
      <c r="FW55" s="34"/>
      <c r="FX55" s="31"/>
      <c r="FY55" s="34"/>
      <c r="FZ55" s="31"/>
      <c r="GA55" s="34"/>
      <c r="GB55" s="31"/>
      <c r="GC55" s="34"/>
      <c r="GD55" s="31"/>
      <c r="GE55" s="34"/>
      <c r="GF55" s="31"/>
      <c r="GG55" s="34"/>
      <c r="GH55" s="31"/>
      <c r="GI55" s="34" t="s">
        <v>454</v>
      </c>
      <c r="GJ55" s="31"/>
      <c r="GK55" s="34" t="s">
        <v>953</v>
      </c>
      <c r="GL55" s="31" t="s">
        <v>106</v>
      </c>
      <c r="GM55" s="34" t="s">
        <v>501</v>
      </c>
      <c r="GN55" s="31"/>
      <c r="GO55" s="34"/>
      <c r="GP55" s="31"/>
      <c r="GQ55" s="34" t="s">
        <v>244</v>
      </c>
      <c r="GR55" s="31"/>
      <c r="GS55" s="34"/>
      <c r="GT55" s="31"/>
      <c r="GU55" s="34"/>
      <c r="GV55" s="31"/>
      <c r="GW55" s="34"/>
      <c r="GX55" s="31" t="s">
        <v>950</v>
      </c>
      <c r="GY55" s="34"/>
      <c r="GZ55" s="31" t="s">
        <v>894</v>
      </c>
      <c r="HA55" s="34"/>
      <c r="HB55" s="31"/>
      <c r="HC55" s="34"/>
      <c r="HD55" s="30" t="s">
        <v>102</v>
      </c>
      <c r="HE55" s="34" t="s">
        <v>901</v>
      </c>
      <c r="HF55" s="31"/>
      <c r="HG55" s="34"/>
      <c r="HH55" s="31"/>
      <c r="HI55" s="34"/>
      <c r="HJ55" s="31"/>
      <c r="HK55" s="34"/>
      <c r="HL55" s="31"/>
      <c r="HM55" s="34"/>
      <c r="HN55" s="31"/>
      <c r="HO55" s="34" t="s">
        <v>523</v>
      </c>
      <c r="HP55" s="31"/>
      <c r="HQ55" s="34"/>
      <c r="HR55" s="31" t="s">
        <v>1302</v>
      </c>
      <c r="HS55" s="34" t="s">
        <v>195</v>
      </c>
      <c r="HT55" s="31"/>
      <c r="HU55" s="34"/>
      <c r="HV55" s="31"/>
      <c r="HW55" s="34"/>
      <c r="HX55" s="39" t="s">
        <v>163</v>
      </c>
      <c r="HY55" s="39" t="s">
        <v>877</v>
      </c>
      <c r="HZ55" s="31"/>
      <c r="IA55" s="34"/>
      <c r="IB55" s="31"/>
      <c r="IC55" s="34" t="s">
        <v>856</v>
      </c>
      <c r="ID55" s="31"/>
      <c r="IE55" s="34"/>
      <c r="IF55" s="31"/>
      <c r="IG55" s="34"/>
      <c r="IH55" s="31"/>
      <c r="II55" s="34"/>
      <c r="IJ55" s="31"/>
      <c r="IK55" s="34" t="s">
        <v>937</v>
      </c>
      <c r="IL55" s="31"/>
      <c r="IM55" s="34" t="s">
        <v>175</v>
      </c>
      <c r="IN55" s="31" t="s">
        <v>884</v>
      </c>
      <c r="IO55" s="34"/>
      <c r="IP55" s="31" t="s">
        <v>45</v>
      </c>
      <c r="IQ55" s="34"/>
      <c r="IR55" s="31"/>
      <c r="IS55" s="34"/>
      <c r="IT55" s="31"/>
      <c r="IU55" s="34"/>
      <c r="IV55" s="31"/>
      <c r="IW55" s="34"/>
      <c r="IX55" s="31"/>
      <c r="IY55" s="34"/>
      <c r="IZ55" s="31"/>
      <c r="JA55" s="34" t="s">
        <v>871</v>
      </c>
      <c r="JB55" s="36"/>
    </row>
    <row r="56" spans="1:262" ht="30" customHeight="1" x14ac:dyDescent="0.25">
      <c r="A56" s="26" t="s">
        <v>1284</v>
      </c>
      <c r="B56" s="48" t="str">
        <f t="shared" si="1"/>
        <v>1st Choice Development
Alpha Energy Management, Inc.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Gold Rush Energy Solutions
Golden State Power
Green Water and Power
GRID Alternatives
GS Homes
Horizon Solar Power
I Love My Solar
Ilum Solar
Infinity Energy Inc
Kota Construction
Kuubix Energy, Inc.
LA Solar Group
Laibach Solar
LLUMETEC
Mack Electric/Gardner Energy
NRG Clean Power
Pacific Rim ConstructioRAM SOLAR
Promise Energy Inc
Quality Home Services
REC Solar
Sage Energy Consulting
SIG Solar
Sol Training
Solar Gain West LLC
Solar Pros Inc.
Solar Savings Direct
SolTek Industries Inc.
Spreck Energy
Stem, Inc.
Stronghold Engineering
Sunnova Energy
SunPower by Quality Home Services
SunPower Corporation
Sunterra Solar Inc
Sunworks
Swell Energy
Synergy Power
V3 Electric Inc
Vivint Solar
Westhaven Inc.</v>
      </c>
      <c r="C56" s="29" t="s">
        <v>857</v>
      </c>
      <c r="D56" s="31"/>
      <c r="E56" s="34"/>
      <c r="F56" s="31"/>
      <c r="G56" s="34"/>
      <c r="H56" s="31"/>
      <c r="I56" s="34"/>
      <c r="J56" s="31"/>
      <c r="K56" s="34"/>
      <c r="L56" s="31"/>
      <c r="M56" s="34"/>
      <c r="N56" s="30" t="s">
        <v>1295</v>
      </c>
      <c r="O56" s="34"/>
      <c r="P56" s="31"/>
      <c r="Q56" s="34"/>
      <c r="R56" s="31"/>
      <c r="S56" s="34"/>
      <c r="T56" s="31"/>
      <c r="U56" s="34" t="s">
        <v>915</v>
      </c>
      <c r="V56" s="31"/>
      <c r="W56" s="34"/>
      <c r="X56" s="31"/>
      <c r="Y56" s="34"/>
      <c r="Z56" s="31"/>
      <c r="AA56" s="34"/>
      <c r="AB56" s="31"/>
      <c r="AC56" s="34"/>
      <c r="AD56" s="31"/>
      <c r="AE56" s="34"/>
      <c r="AF56" s="31"/>
      <c r="AG56" s="34"/>
      <c r="AH56" s="31"/>
      <c r="AI56" s="34" t="s">
        <v>202</v>
      </c>
      <c r="AJ56" s="31"/>
      <c r="AK56" s="34"/>
      <c r="AL56" s="31" t="s">
        <v>217</v>
      </c>
      <c r="AM56" s="34"/>
      <c r="AN56" s="31"/>
      <c r="AO56" s="34" t="s">
        <v>497</v>
      </c>
      <c r="AP56" s="31" t="s">
        <v>1231</v>
      </c>
      <c r="AQ56" s="34"/>
      <c r="AR56" s="31"/>
      <c r="AS56" s="34" t="s">
        <v>60</v>
      </c>
      <c r="AT56" s="31" t="s">
        <v>205</v>
      </c>
      <c r="AU56" s="34"/>
      <c r="AV56" s="31" t="s">
        <v>199</v>
      </c>
      <c r="AW56" s="34"/>
      <c r="AX56" s="31"/>
      <c r="AY56" s="34"/>
      <c r="AZ56" s="31"/>
      <c r="BA56" s="34" t="s">
        <v>351</v>
      </c>
      <c r="BB56" s="31"/>
      <c r="BC56" s="34"/>
      <c r="BD56" s="31"/>
      <c r="BE56" s="34" t="s">
        <v>1215</v>
      </c>
      <c r="BF56" s="31"/>
      <c r="BG56" s="34"/>
      <c r="BH56" s="31"/>
      <c r="BI56" s="34"/>
      <c r="BJ56" s="31" t="s">
        <v>321</v>
      </c>
      <c r="BK56" s="34"/>
      <c r="BL56" s="31"/>
      <c r="BM56" s="34"/>
      <c r="BN56" s="31"/>
      <c r="BO56" s="34"/>
      <c r="BP56" s="31"/>
      <c r="BQ56" s="34" t="s">
        <v>391</v>
      </c>
      <c r="BR56" s="31"/>
      <c r="BS56" s="34"/>
      <c r="BT56" s="31"/>
      <c r="BU56" s="34"/>
      <c r="BV56" s="31" t="s">
        <v>330</v>
      </c>
      <c r="BW56" s="34" t="s">
        <v>532</v>
      </c>
      <c r="BX56" s="31" t="s">
        <v>280</v>
      </c>
      <c r="BY56" s="34"/>
      <c r="BZ56" s="31"/>
      <c r="CA56" s="34" t="s">
        <v>853</v>
      </c>
      <c r="CB56" s="31"/>
      <c r="CC56" s="34"/>
      <c r="CD56" s="31"/>
      <c r="CE56" s="34" t="s">
        <v>275</v>
      </c>
      <c r="CF56" s="31"/>
      <c r="CG56" s="34"/>
      <c r="CH56" s="31"/>
      <c r="CI56" s="34"/>
      <c r="CJ56" s="31"/>
      <c r="CK56" s="34"/>
      <c r="CL56" s="31"/>
      <c r="CM56" s="34"/>
      <c r="CN56" s="31" t="s">
        <v>487</v>
      </c>
      <c r="CO56" s="34"/>
      <c r="CP56" s="31" t="s">
        <v>296</v>
      </c>
      <c r="CQ56" s="34"/>
      <c r="CR56" s="31"/>
      <c r="CS56" s="34" t="s">
        <v>892</v>
      </c>
      <c r="CT56" s="31"/>
      <c r="CU56" s="34" t="s">
        <v>99</v>
      </c>
      <c r="CV56" s="31" t="s">
        <v>852</v>
      </c>
      <c r="CW56" s="34"/>
      <c r="CX56" s="31"/>
      <c r="CY56" s="34"/>
      <c r="CZ56" s="31"/>
      <c r="DA56" s="34"/>
      <c r="DB56" s="31"/>
      <c r="DC56" s="34"/>
      <c r="DD56" s="31"/>
      <c r="DE56" s="34" t="s">
        <v>134</v>
      </c>
      <c r="DF56" s="31"/>
      <c r="DG56" s="34"/>
      <c r="DH56" s="31"/>
      <c r="DI56" s="34" t="s">
        <v>858</v>
      </c>
      <c r="DJ56" s="31" t="s">
        <v>272</v>
      </c>
      <c r="DK56" s="34"/>
      <c r="DL56" s="31" t="s">
        <v>428</v>
      </c>
      <c r="DM56" s="34"/>
      <c r="DN56" s="31"/>
      <c r="DO56" s="34"/>
      <c r="DP56" s="31"/>
      <c r="DQ56" s="34"/>
      <c r="DR56" s="31"/>
      <c r="DS56" s="34"/>
      <c r="DT56" s="31"/>
      <c r="DU56" s="34" t="s">
        <v>267</v>
      </c>
      <c r="DV56" s="31" t="s">
        <v>109</v>
      </c>
      <c r="DW56" s="34" t="s">
        <v>895</v>
      </c>
      <c r="DX56" s="31" t="s">
        <v>932</v>
      </c>
      <c r="DY56" s="34"/>
      <c r="DZ56" s="31"/>
      <c r="EA56" s="34" t="s">
        <v>595</v>
      </c>
      <c r="EB56" s="31"/>
      <c r="EC56" s="34"/>
      <c r="ED56" s="31"/>
      <c r="EE56" s="34" t="s">
        <v>83</v>
      </c>
      <c r="EF56" s="31"/>
      <c r="EG56" s="34"/>
      <c r="EH56" s="31"/>
      <c r="EI56" s="34"/>
      <c r="EJ56" s="31"/>
      <c r="EK56" s="34"/>
      <c r="EL56" s="31"/>
      <c r="EM56" s="34"/>
      <c r="EN56" s="31"/>
      <c r="EO56" s="34"/>
      <c r="EP56" s="31"/>
      <c r="EQ56" s="34"/>
      <c r="ER56" s="31"/>
      <c r="ES56" s="34" t="s">
        <v>935</v>
      </c>
      <c r="ET56" s="31"/>
      <c r="EU56" s="34"/>
      <c r="EV56" s="31"/>
      <c r="EW56" s="34" t="s">
        <v>983</v>
      </c>
      <c r="EX56" s="31"/>
      <c r="EY56" s="34"/>
      <c r="EZ56" s="31"/>
      <c r="FA56" s="34"/>
      <c r="FB56" s="31"/>
      <c r="FC56" s="34"/>
      <c r="FD56" s="31" t="s">
        <v>484</v>
      </c>
      <c r="FE56" s="34"/>
      <c r="FF56" s="31" t="s">
        <v>439</v>
      </c>
      <c r="FG56" s="34"/>
      <c r="FH56" s="31"/>
      <c r="FI56" s="34" t="s">
        <v>354</v>
      </c>
      <c r="FJ56" s="31"/>
      <c r="FK56" s="34"/>
      <c r="FL56" s="31"/>
      <c r="FM56" s="34"/>
      <c r="FN56" s="31" t="s">
        <v>465</v>
      </c>
      <c r="FO56" s="34"/>
      <c r="FP56" s="31"/>
      <c r="FQ56" s="34"/>
      <c r="FR56" s="31"/>
      <c r="FS56" s="39"/>
      <c r="FT56" s="39"/>
      <c r="FU56" s="34"/>
      <c r="FV56" s="31"/>
      <c r="FW56" s="34"/>
      <c r="FX56" s="31" t="s">
        <v>934</v>
      </c>
      <c r="FY56" s="34"/>
      <c r="FZ56" s="31"/>
      <c r="GA56" s="34"/>
      <c r="GB56" s="31"/>
      <c r="GC56" s="34"/>
      <c r="GD56" s="31"/>
      <c r="GE56" s="34"/>
      <c r="GF56" s="31" t="s">
        <v>922</v>
      </c>
      <c r="GG56" s="34"/>
      <c r="GH56" s="31"/>
      <c r="GI56" s="34" t="s">
        <v>454</v>
      </c>
      <c r="GJ56" s="31"/>
      <c r="GK56" s="34"/>
      <c r="GL56" s="31"/>
      <c r="GM56" s="34" t="s">
        <v>501</v>
      </c>
      <c r="GN56" s="31"/>
      <c r="GO56" s="34" t="s">
        <v>96</v>
      </c>
      <c r="GP56" s="31"/>
      <c r="GQ56" s="34"/>
      <c r="GR56" s="31"/>
      <c r="GS56" s="34"/>
      <c r="GT56" s="31"/>
      <c r="GU56" s="34"/>
      <c r="GV56" s="31"/>
      <c r="GW56" s="34"/>
      <c r="GX56" s="31" t="s">
        <v>950</v>
      </c>
      <c r="GY56" s="34"/>
      <c r="GZ56" s="31" t="s">
        <v>894</v>
      </c>
      <c r="HA56" s="34"/>
      <c r="HB56" s="31"/>
      <c r="HC56" s="34"/>
      <c r="HD56" s="30" t="s">
        <v>102</v>
      </c>
      <c r="HE56" s="34" t="s">
        <v>901</v>
      </c>
      <c r="HF56" s="31"/>
      <c r="HG56" s="34"/>
      <c r="HH56" s="31"/>
      <c r="HI56" s="34"/>
      <c r="HJ56" s="31"/>
      <c r="HK56" s="34"/>
      <c r="HL56" s="31"/>
      <c r="HM56" s="34"/>
      <c r="HN56" s="31"/>
      <c r="HO56" s="34" t="s">
        <v>523</v>
      </c>
      <c r="HP56" s="31"/>
      <c r="HQ56" s="34"/>
      <c r="HR56" s="31" t="s">
        <v>1302</v>
      </c>
      <c r="HS56" s="34" t="s">
        <v>195</v>
      </c>
      <c r="HT56" s="31"/>
      <c r="HU56" s="34"/>
      <c r="HV56" s="31"/>
      <c r="HW56" s="34"/>
      <c r="HX56" s="39" t="s">
        <v>163</v>
      </c>
      <c r="HY56" s="39" t="s">
        <v>877</v>
      </c>
      <c r="HZ56" s="31"/>
      <c r="IA56" s="34"/>
      <c r="IB56" s="31"/>
      <c r="IC56" s="34" t="s">
        <v>856</v>
      </c>
      <c r="ID56" s="31"/>
      <c r="IE56" s="34"/>
      <c r="IF56" s="31" t="s">
        <v>513</v>
      </c>
      <c r="IG56" s="34"/>
      <c r="IH56" s="31"/>
      <c r="II56" s="34"/>
      <c r="IJ56" s="31"/>
      <c r="IK56" s="34"/>
      <c r="IL56" s="31"/>
      <c r="IM56" s="34" t="s">
        <v>175</v>
      </c>
      <c r="IN56" s="31"/>
      <c r="IO56" s="34"/>
      <c r="IP56" s="31" t="s">
        <v>45</v>
      </c>
      <c r="IQ56" s="34"/>
      <c r="IR56" s="31"/>
      <c r="IS56" s="34"/>
      <c r="IT56" s="31"/>
      <c r="IU56" s="34"/>
      <c r="IV56" s="31" t="s">
        <v>315</v>
      </c>
      <c r="IW56" s="34"/>
      <c r="IX56" s="31"/>
      <c r="IY56" s="34"/>
      <c r="IZ56" s="31"/>
      <c r="JA56" s="34"/>
      <c r="JB56" s="36"/>
    </row>
    <row r="57" spans="1:262" ht="30" customHeight="1" x14ac:dyDescent="0.25">
      <c r="A57" s="27" t="s">
        <v>1285</v>
      </c>
      <c r="B57" s="48" t="str">
        <f t="shared" si="1"/>
        <v>1st Choice Development
A-1 Contractors Inc. dba A-1 Electric
Aeterna Energy
Alpha Energy Management, Inc.
AltSys Solar Incorporated
Ameresco Solar
Apollo Home Performance
AWS Electrical &amp; Solar Inc.
Baker Electric
Blue Planet Water and Power Company
Blue Sky Energy
Bright Power
Brighten Solar Company
CalCom Energy
California Solar Electric
California Solar Integrators, Inc.
California State Development
Centrica Business Solutions
Citadel Roofing &amp; Solar
Climatec
Communication Infrastructure Corporation (CIC)
DC Solar Electric, Inc
EDF Renewables Distributed Solutions
Effect Energy, Inc
Electro Thermal
Enel X North America
Energy Independence Group
Energy Innovative Solutions LLC
Engie Services US
First American Solar
ForeFront Power
Freevolt
Go Green Solar
Gold Rush Energy Solutions
Golden State Power
Green Water and Power
GRID Alternatives
GS Homes
Horizon Solar Power
Ilum Solar
Infinity Energy Inc
Kota Construction
Kuubix Energy, Inc.
LA Solar Group
LED Power Saver
LLUMETEC
M Kahn Solar Inc. d/b/a Kahn Solar
M2 Multimedia
Mack Electric/Gardner Energy
Mimeos
Neighborhood ACE
NGR Upgrade
NRG Clean Power
Pacific Sun Technologies
PacificWest Energy Solutions, Inc.
Photon Brothers
Plug It In Solar
Promise Energy Inc
Quantum Solar Designs, Inc.
REC Solar
Revel Energy
Sage Energy Consulting
Semper Solaris
Simply Solar
SKR Solar
Solar Forward
Solar Gain West LLC
Solar Maintenance Pros
Solar Optimum Inc
Solar Pros Inc.
Solar Spectrom
Solar Symphony Construction Inc
Stem, Inc.
Stronghold Engineering
Sun, Wind, and Fire Alternative Energy Solutions
SunGreen Systems
Sunistics Group
Sunnova Energy
SunPower Corporation
Sunstreet
Sunterra Solar Inc
Sunworks
Sustineo
Swell Energy
Tree Public
Treeium Energy
Trinity Power
V3 Electric Inc
Vector Green Power and Materials LLC
Vivint Solar
Xero Solar
Your Energy Source (YES)</v>
      </c>
      <c r="C57" s="29" t="s">
        <v>857</v>
      </c>
      <c r="D57" s="31"/>
      <c r="E57" s="33" t="s">
        <v>240</v>
      </c>
      <c r="F57" s="31"/>
      <c r="G57" s="34"/>
      <c r="H57" s="31"/>
      <c r="I57" s="34" t="s">
        <v>1233</v>
      </c>
      <c r="J57" s="31"/>
      <c r="K57" s="34"/>
      <c r="L57" s="31"/>
      <c r="M57" s="34"/>
      <c r="N57" s="30" t="s">
        <v>1295</v>
      </c>
      <c r="O57" s="34"/>
      <c r="P57" s="31"/>
      <c r="Q57" s="34" t="s">
        <v>881</v>
      </c>
      <c r="R57" s="31"/>
      <c r="S57" s="34"/>
      <c r="T57" s="31" t="s">
        <v>427</v>
      </c>
      <c r="U57" s="34" t="s">
        <v>915</v>
      </c>
      <c r="V57" s="31"/>
      <c r="W57" s="34" t="s">
        <v>293</v>
      </c>
      <c r="X57" s="31"/>
      <c r="Y57" s="34"/>
      <c r="Z57" s="31" t="s">
        <v>883</v>
      </c>
      <c r="AA57" s="34"/>
      <c r="AB57" s="31"/>
      <c r="AC57" s="34"/>
      <c r="AD57" s="31"/>
      <c r="AE57" s="34" t="s">
        <v>943</v>
      </c>
      <c r="AF57" s="31" t="s">
        <v>1232</v>
      </c>
      <c r="AG57" s="34"/>
      <c r="AH57" s="31"/>
      <c r="AI57" s="34" t="s">
        <v>202</v>
      </c>
      <c r="AJ57" s="31" t="s">
        <v>851</v>
      </c>
      <c r="AK57" s="34"/>
      <c r="AL57" s="31" t="s">
        <v>217</v>
      </c>
      <c r="AM57" s="34" t="s">
        <v>463</v>
      </c>
      <c r="AN57" s="31"/>
      <c r="AO57" s="34" t="s">
        <v>497</v>
      </c>
      <c r="AP57" s="31" t="s">
        <v>1231</v>
      </c>
      <c r="AQ57" s="34"/>
      <c r="AR57" s="31"/>
      <c r="AS57" s="34" t="s">
        <v>60</v>
      </c>
      <c r="AT57" s="31"/>
      <c r="AU57" s="34"/>
      <c r="AV57" s="31" t="s">
        <v>199</v>
      </c>
      <c r="AW57" s="34"/>
      <c r="AX57" s="31"/>
      <c r="AY57" s="34"/>
      <c r="AZ57" s="31"/>
      <c r="BA57" s="34" t="s">
        <v>351</v>
      </c>
      <c r="BB57" s="31"/>
      <c r="BC57" s="34"/>
      <c r="BD57" s="31"/>
      <c r="BE57" s="34" t="s">
        <v>1215</v>
      </c>
      <c r="BF57" s="31"/>
      <c r="BG57" s="34"/>
      <c r="BH57" s="31"/>
      <c r="BI57" s="34"/>
      <c r="BJ57" s="31" t="s">
        <v>321</v>
      </c>
      <c r="BK57" s="34"/>
      <c r="BL57" s="31"/>
      <c r="BM57" s="34"/>
      <c r="BN57" s="31"/>
      <c r="BO57" s="34"/>
      <c r="BP57" s="31"/>
      <c r="BQ57" s="34" t="s">
        <v>391</v>
      </c>
      <c r="BR57" s="31" t="s">
        <v>190</v>
      </c>
      <c r="BS57" s="34" t="s">
        <v>872</v>
      </c>
      <c r="BT57" s="31"/>
      <c r="BU57" s="34"/>
      <c r="BV57" s="31"/>
      <c r="BW57" s="34" t="s">
        <v>532</v>
      </c>
      <c r="BX57" s="31" t="s">
        <v>280</v>
      </c>
      <c r="BY57" s="34" t="s">
        <v>211</v>
      </c>
      <c r="BZ57" s="31"/>
      <c r="CA57" s="34" t="s">
        <v>853</v>
      </c>
      <c r="CB57" s="31"/>
      <c r="CC57" s="34" t="s">
        <v>537</v>
      </c>
      <c r="CD57" s="31"/>
      <c r="CE57" s="34" t="s">
        <v>275</v>
      </c>
      <c r="CF57" s="31" t="s">
        <v>253</v>
      </c>
      <c r="CG57" s="34"/>
      <c r="CH57" s="31"/>
      <c r="CI57" s="34"/>
      <c r="CJ57" s="31"/>
      <c r="CK57" s="34"/>
      <c r="CL57" s="31" t="s">
        <v>417</v>
      </c>
      <c r="CM57" s="34"/>
      <c r="CN57" s="31" t="s">
        <v>487</v>
      </c>
      <c r="CO57" s="34"/>
      <c r="CP57" s="31" t="s">
        <v>296</v>
      </c>
      <c r="CQ57" s="34"/>
      <c r="CR57" s="31"/>
      <c r="CS57" s="34" t="s">
        <v>892</v>
      </c>
      <c r="CT57" s="31"/>
      <c r="CU57" s="34" t="s">
        <v>99</v>
      </c>
      <c r="CV57" s="31" t="s">
        <v>852</v>
      </c>
      <c r="CW57" s="34"/>
      <c r="CX57" s="31"/>
      <c r="CY57" s="34"/>
      <c r="CZ57" s="31"/>
      <c r="DA57" s="34"/>
      <c r="DB57" s="31"/>
      <c r="DC57" s="34"/>
      <c r="DD57" s="31"/>
      <c r="DE57" s="34" t="s">
        <v>134</v>
      </c>
      <c r="DF57" s="31"/>
      <c r="DG57" s="34"/>
      <c r="DH57" s="31"/>
      <c r="DI57" s="34"/>
      <c r="DJ57" s="31" t="s">
        <v>272</v>
      </c>
      <c r="DK57" s="34"/>
      <c r="DL57" s="31" t="s">
        <v>428</v>
      </c>
      <c r="DM57" s="34"/>
      <c r="DN57" s="31"/>
      <c r="DO57" s="34"/>
      <c r="DP57" s="31"/>
      <c r="DQ57" s="34"/>
      <c r="DR57" s="31"/>
      <c r="DS57" s="34"/>
      <c r="DT57" s="31"/>
      <c r="DU57" s="34" t="s">
        <v>267</v>
      </c>
      <c r="DV57" s="31" t="s">
        <v>109</v>
      </c>
      <c r="DW57" s="34" t="s">
        <v>895</v>
      </c>
      <c r="DX57" s="31"/>
      <c r="DY57" s="34" t="s">
        <v>889</v>
      </c>
      <c r="DZ57" s="31"/>
      <c r="EA57" s="34" t="s">
        <v>595</v>
      </c>
      <c r="EB57" s="31" t="s">
        <v>448</v>
      </c>
      <c r="EC57" s="34"/>
      <c r="ED57" s="31" t="s">
        <v>860</v>
      </c>
      <c r="EE57" s="34" t="s">
        <v>83</v>
      </c>
      <c r="EF57" s="31"/>
      <c r="EG57" s="34"/>
      <c r="EH57" s="31"/>
      <c r="EI57" s="34" t="s">
        <v>900</v>
      </c>
      <c r="EJ57" s="31"/>
      <c r="EK57" s="34"/>
      <c r="EL57" s="31" t="s">
        <v>951</v>
      </c>
      <c r="EM57" s="34"/>
      <c r="EN57" s="31"/>
      <c r="EO57" s="34" t="s">
        <v>880</v>
      </c>
      <c r="EP57" s="31"/>
      <c r="EQ57" s="34"/>
      <c r="ER57" s="31"/>
      <c r="ES57" s="34" t="s">
        <v>935</v>
      </c>
      <c r="ET57" s="31"/>
      <c r="EU57" s="34"/>
      <c r="EV57" s="31"/>
      <c r="EW57" s="34"/>
      <c r="EX57" s="31" t="s">
        <v>903</v>
      </c>
      <c r="EY57" s="34" t="s">
        <v>559</v>
      </c>
      <c r="EZ57" s="31"/>
      <c r="FA57" s="34"/>
      <c r="FB57" s="31" t="s">
        <v>921</v>
      </c>
      <c r="FC57" s="34" t="s">
        <v>940</v>
      </c>
      <c r="FD57" s="31" t="s">
        <v>484</v>
      </c>
      <c r="FE57" s="34"/>
      <c r="FF57" s="31"/>
      <c r="FG57" s="34" t="s">
        <v>541</v>
      </c>
      <c r="FH57" s="31"/>
      <c r="FI57" s="34" t="s">
        <v>354</v>
      </c>
      <c r="FJ57" s="31"/>
      <c r="FK57" s="34" t="s">
        <v>341</v>
      </c>
      <c r="FL57" s="31"/>
      <c r="FM57" s="34"/>
      <c r="FN57" s="31" t="s">
        <v>465</v>
      </c>
      <c r="FO57" s="34"/>
      <c r="FP57" s="31"/>
      <c r="FQ57" s="34"/>
      <c r="FR57" s="31"/>
      <c r="FS57" s="39"/>
      <c r="FT57" s="39"/>
      <c r="FU57" s="34" t="s">
        <v>630</v>
      </c>
      <c r="FV57" s="31"/>
      <c r="FW57" s="34"/>
      <c r="FX57" s="31"/>
      <c r="FY57" s="34"/>
      <c r="FZ57" s="31" t="s">
        <v>933</v>
      </c>
      <c r="GA57" s="34"/>
      <c r="GB57" s="31" t="s">
        <v>893</v>
      </c>
      <c r="GC57" s="34"/>
      <c r="GD57" s="31"/>
      <c r="GE57" s="34"/>
      <c r="GF57" s="31"/>
      <c r="GG57" s="34"/>
      <c r="GH57" s="31" t="s">
        <v>897</v>
      </c>
      <c r="GI57" s="34" t="s">
        <v>454</v>
      </c>
      <c r="GJ57" s="31"/>
      <c r="GK57" s="34" t="s">
        <v>953</v>
      </c>
      <c r="GL57" s="31" t="s">
        <v>106</v>
      </c>
      <c r="GM57" s="34" t="s">
        <v>501</v>
      </c>
      <c r="GN57" s="31"/>
      <c r="GO57" s="34"/>
      <c r="GP57" s="31" t="s">
        <v>861</v>
      </c>
      <c r="GQ57" s="34" t="s">
        <v>244</v>
      </c>
      <c r="GR57" s="31"/>
      <c r="GS57" s="34"/>
      <c r="GT57" s="31"/>
      <c r="GU57" s="34"/>
      <c r="GV57" s="31"/>
      <c r="GW57" s="34"/>
      <c r="GX57" s="31"/>
      <c r="GY57" s="34"/>
      <c r="GZ57" s="31"/>
      <c r="HA57" s="34"/>
      <c r="HB57" s="31"/>
      <c r="HC57" s="34"/>
      <c r="HD57" s="30" t="s">
        <v>102</v>
      </c>
      <c r="HE57" s="34" t="s">
        <v>901</v>
      </c>
      <c r="HF57" s="31"/>
      <c r="HG57" s="34"/>
      <c r="HH57" s="31"/>
      <c r="HI57" s="34" t="s">
        <v>919</v>
      </c>
      <c r="HJ57" s="31"/>
      <c r="HK57" s="34"/>
      <c r="HL57" s="31" t="s">
        <v>444</v>
      </c>
      <c r="HM57" s="34" t="s">
        <v>887</v>
      </c>
      <c r="HN57" s="31"/>
      <c r="HO57" s="34" t="s">
        <v>523</v>
      </c>
      <c r="HP57" s="31"/>
      <c r="HQ57" s="34"/>
      <c r="HR57" s="31"/>
      <c r="HS57" s="34" t="s">
        <v>195</v>
      </c>
      <c r="HT57" s="31"/>
      <c r="HU57" s="34"/>
      <c r="HV57" s="31" t="s">
        <v>370</v>
      </c>
      <c r="HW57" s="34"/>
      <c r="HX57" s="39" t="s">
        <v>163</v>
      </c>
      <c r="HY57" s="39" t="s">
        <v>877</v>
      </c>
      <c r="HZ57" s="31"/>
      <c r="IA57" s="34"/>
      <c r="IB57" s="31" t="s">
        <v>952</v>
      </c>
      <c r="IC57" s="34" t="s">
        <v>856</v>
      </c>
      <c r="ID57" s="31"/>
      <c r="IE57" s="34"/>
      <c r="IF57" s="31"/>
      <c r="IG57" s="34"/>
      <c r="IH57" s="31"/>
      <c r="II57" s="34" t="s">
        <v>870</v>
      </c>
      <c r="IJ57" s="31" t="s">
        <v>460</v>
      </c>
      <c r="IK57" s="34" t="s">
        <v>937</v>
      </c>
      <c r="IL57" s="31"/>
      <c r="IM57" s="34" t="s">
        <v>175</v>
      </c>
      <c r="IN57" s="31"/>
      <c r="IO57" s="34" t="s">
        <v>230</v>
      </c>
      <c r="IP57" s="31" t="s">
        <v>45</v>
      </c>
      <c r="IQ57" s="34"/>
      <c r="IR57" s="31"/>
      <c r="IS57" s="34"/>
      <c r="IT57" s="31"/>
      <c r="IU57" s="34"/>
      <c r="IV57" s="31"/>
      <c r="IW57" s="34"/>
      <c r="IX57" s="31" t="s">
        <v>344</v>
      </c>
      <c r="IY57" s="34"/>
      <c r="IZ57" s="31"/>
      <c r="JA57" s="34" t="s">
        <v>871</v>
      </c>
      <c r="JB57" s="36"/>
    </row>
    <row r="58" spans="1:262" ht="30" customHeight="1" x14ac:dyDescent="0.25">
      <c r="A58" s="26" t="s">
        <v>1286</v>
      </c>
      <c r="B58" s="48" t="str">
        <f t="shared" si="1"/>
        <v>1st Choice Development
ACR Solar
Alpha Energy Management, Inc.
Ambrose Construction Inc
Apollo Home Performance
Aztec Solar Inc.
Bright Power
California Solar Integrators, Inc.
California State Development
Capital City Solar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Ilum Solar
Infinity Energy Inc
Jonas Energy Solutions
Kota Construction
Kuubix Energy, Inc.
LA Solar Group
Laibach Solar
LLUMETEC
Mack Electric/Gardner Energy
Modernize Construction
North State Solar Energy Construction
NRG Clean Power
Pacific Rim ConstructioRAM SOLAR
Promise Energy Inc
REC Solar
Sage Energy Consulting
Semper Solaris
Sierra Pacific
Solar Gain West LLC
Solar Optimum Inc
Solar Pros Inc.
Solar Savings Direct
SolarWinds Energy
Spreck Energy
Starseed Electric
Stem, Inc.
Stronghold Engineering
Sun Power by Ambrose
Sungenix Energy Solutions
Sunnova Energy
SunPower by Hooked On Solar
SunPower Corporation
SunStor
Sunterra Solar Inc
Sunworks
Sustainable Technologies
Swell Energy
Synergy Power
Trinity Power
V3 Electric Inc
Vivint Solar
West Coast Solar
Westhaven Inc.
Your Energy Source (YES)</v>
      </c>
      <c r="C58" s="29" t="s">
        <v>857</v>
      </c>
      <c r="D58" s="31"/>
      <c r="E58" s="34"/>
      <c r="F58" s="31"/>
      <c r="G58" s="34" t="s">
        <v>866</v>
      </c>
      <c r="H58" s="31"/>
      <c r="I58" s="34"/>
      <c r="J58" s="31"/>
      <c r="K58" s="34"/>
      <c r="L58" s="31"/>
      <c r="M58" s="34"/>
      <c r="N58" s="30" t="s">
        <v>1295</v>
      </c>
      <c r="O58" s="34"/>
      <c r="P58" s="31"/>
      <c r="Q58" s="34"/>
      <c r="R58" s="31"/>
      <c r="S58" s="34" t="s">
        <v>87</v>
      </c>
      <c r="T58" s="31"/>
      <c r="U58" s="34" t="s">
        <v>915</v>
      </c>
      <c r="V58" s="31"/>
      <c r="W58" s="34"/>
      <c r="X58" s="31" t="s">
        <v>401</v>
      </c>
      <c r="Y58" s="34"/>
      <c r="Z58" s="31"/>
      <c r="AA58" s="34"/>
      <c r="AB58" s="31"/>
      <c r="AC58" s="34"/>
      <c r="AD58" s="31"/>
      <c r="AE58" s="34"/>
      <c r="AF58" s="31"/>
      <c r="AG58" s="34"/>
      <c r="AH58" s="31"/>
      <c r="AI58" s="34" t="s">
        <v>202</v>
      </c>
      <c r="AJ58" s="31"/>
      <c r="AK58" s="34"/>
      <c r="AL58" s="31"/>
      <c r="AM58" s="34"/>
      <c r="AN58" s="31"/>
      <c r="AO58" s="34" t="s">
        <v>497</v>
      </c>
      <c r="AP58" s="31" t="s">
        <v>1231</v>
      </c>
      <c r="AQ58" s="34"/>
      <c r="AR58" s="31" t="s">
        <v>923</v>
      </c>
      <c r="AS58" s="34" t="s">
        <v>60</v>
      </c>
      <c r="AT58" s="31" t="s">
        <v>205</v>
      </c>
      <c r="AU58" s="34"/>
      <c r="AV58" s="31" t="s">
        <v>199</v>
      </c>
      <c r="AW58" s="34"/>
      <c r="AX58" s="31"/>
      <c r="AY58" s="34"/>
      <c r="AZ58" s="31"/>
      <c r="BA58" s="34" t="s">
        <v>351</v>
      </c>
      <c r="BB58" s="31"/>
      <c r="BC58" s="34"/>
      <c r="BD58" s="31"/>
      <c r="BE58" s="34"/>
      <c r="BF58" s="31"/>
      <c r="BG58" s="34"/>
      <c r="BH58" s="31"/>
      <c r="BI58" s="34"/>
      <c r="BJ58" s="31" t="s">
        <v>321</v>
      </c>
      <c r="BK58" s="34"/>
      <c r="BL58" s="31"/>
      <c r="BM58" s="34"/>
      <c r="BN58" s="31"/>
      <c r="BO58" s="34"/>
      <c r="BP58" s="31"/>
      <c r="BQ58" s="34" t="s">
        <v>391</v>
      </c>
      <c r="BR58" s="31"/>
      <c r="BS58" s="34"/>
      <c r="BT58" s="31"/>
      <c r="BU58" s="34"/>
      <c r="BV58" s="31" t="s">
        <v>330</v>
      </c>
      <c r="BW58" s="34" t="s">
        <v>532</v>
      </c>
      <c r="BX58" s="31" t="s">
        <v>280</v>
      </c>
      <c r="BY58" s="34"/>
      <c r="BZ58" s="31"/>
      <c r="CA58" s="34" t="s">
        <v>853</v>
      </c>
      <c r="CB58" s="31"/>
      <c r="CC58" s="34"/>
      <c r="CD58" s="31"/>
      <c r="CE58" s="34" t="s">
        <v>275</v>
      </c>
      <c r="CF58" s="31"/>
      <c r="CG58" s="34"/>
      <c r="CH58" s="31"/>
      <c r="CI58" s="34"/>
      <c r="CJ58" s="31"/>
      <c r="CK58" s="34"/>
      <c r="CL58" s="31"/>
      <c r="CM58" s="34"/>
      <c r="CN58" s="31" t="s">
        <v>487</v>
      </c>
      <c r="CO58" s="34"/>
      <c r="CP58" s="31"/>
      <c r="CQ58" s="34"/>
      <c r="CR58" s="31"/>
      <c r="CS58" s="34" t="s">
        <v>892</v>
      </c>
      <c r="CT58" s="31"/>
      <c r="CU58" s="34" t="s">
        <v>99</v>
      </c>
      <c r="CV58" s="31" t="s">
        <v>852</v>
      </c>
      <c r="CW58" s="34"/>
      <c r="CX58" s="31"/>
      <c r="CY58" s="34"/>
      <c r="CZ58" s="31"/>
      <c r="DA58" s="34"/>
      <c r="DB58" s="31"/>
      <c r="DC58" s="34"/>
      <c r="DD58" s="31"/>
      <c r="DE58" s="34"/>
      <c r="DF58" s="31"/>
      <c r="DG58" s="34"/>
      <c r="DH58" s="31"/>
      <c r="DI58" s="34"/>
      <c r="DJ58" s="31" t="s">
        <v>272</v>
      </c>
      <c r="DK58" s="34"/>
      <c r="DL58" s="31" t="s">
        <v>428</v>
      </c>
      <c r="DM58" s="34"/>
      <c r="DN58" s="31"/>
      <c r="DO58" s="34"/>
      <c r="DP58" s="31"/>
      <c r="DQ58" s="34"/>
      <c r="DR58" s="31" t="s">
        <v>908</v>
      </c>
      <c r="DS58" s="34"/>
      <c r="DT58" s="31"/>
      <c r="DU58" s="34" t="s">
        <v>267</v>
      </c>
      <c r="DV58" s="31" t="s">
        <v>109</v>
      </c>
      <c r="DW58" s="34" t="s">
        <v>895</v>
      </c>
      <c r="DX58" s="31" t="s">
        <v>932</v>
      </c>
      <c r="DY58" s="34"/>
      <c r="DZ58" s="31"/>
      <c r="EA58" s="34" t="s">
        <v>595</v>
      </c>
      <c r="EB58" s="31"/>
      <c r="EC58" s="34"/>
      <c r="ED58" s="31"/>
      <c r="EE58" s="34" t="s">
        <v>83</v>
      </c>
      <c r="EF58" s="31"/>
      <c r="EG58" s="34"/>
      <c r="EH58" s="31"/>
      <c r="EI58" s="34"/>
      <c r="EJ58" s="31" t="s">
        <v>136</v>
      </c>
      <c r="EK58" s="34"/>
      <c r="EL58" s="31"/>
      <c r="EM58" s="34"/>
      <c r="EN58" s="31"/>
      <c r="EO58" s="34"/>
      <c r="EP58" s="31"/>
      <c r="EQ58" s="34" t="s">
        <v>363</v>
      </c>
      <c r="ER58" s="31"/>
      <c r="ES58" s="34" t="s">
        <v>935</v>
      </c>
      <c r="ET58" s="31"/>
      <c r="EU58" s="34"/>
      <c r="EV58" s="31"/>
      <c r="EW58" s="34" t="s">
        <v>983</v>
      </c>
      <c r="EX58" s="31"/>
      <c r="EY58" s="34"/>
      <c r="EZ58" s="31"/>
      <c r="FA58" s="34"/>
      <c r="FB58" s="31"/>
      <c r="FC58" s="34"/>
      <c r="FD58" s="31" t="s">
        <v>484</v>
      </c>
      <c r="FE58" s="34"/>
      <c r="FF58" s="31"/>
      <c r="FG58" s="34"/>
      <c r="FH58" s="31"/>
      <c r="FI58" s="34" t="s">
        <v>354</v>
      </c>
      <c r="FJ58" s="31"/>
      <c r="FK58" s="34"/>
      <c r="FL58" s="31"/>
      <c r="FM58" s="34"/>
      <c r="FN58" s="31" t="s">
        <v>465</v>
      </c>
      <c r="FO58" s="34"/>
      <c r="FP58" s="31"/>
      <c r="FQ58" s="34"/>
      <c r="FR58" s="31"/>
      <c r="FS58" s="39"/>
      <c r="FT58" s="39"/>
      <c r="FU58" s="34" t="s">
        <v>630</v>
      </c>
      <c r="FV58" s="31"/>
      <c r="FW58" s="34" t="s">
        <v>886</v>
      </c>
      <c r="FX58" s="31"/>
      <c r="FY58" s="34"/>
      <c r="FZ58" s="31"/>
      <c r="GA58" s="34"/>
      <c r="GB58" s="31"/>
      <c r="GC58" s="34"/>
      <c r="GD58" s="31"/>
      <c r="GE58" s="34"/>
      <c r="GF58" s="31"/>
      <c r="GG58" s="34"/>
      <c r="GH58" s="31"/>
      <c r="GI58" s="34" t="s">
        <v>454</v>
      </c>
      <c r="GJ58" s="31"/>
      <c r="GK58" s="34"/>
      <c r="GL58" s="31" t="s">
        <v>106</v>
      </c>
      <c r="GM58" s="34" t="s">
        <v>501</v>
      </c>
      <c r="GN58" s="31"/>
      <c r="GO58" s="34" t="s">
        <v>96</v>
      </c>
      <c r="GP58" s="31"/>
      <c r="GQ58" s="34"/>
      <c r="GR58" s="31"/>
      <c r="GS58" s="34"/>
      <c r="GT58" s="31"/>
      <c r="GU58" s="34"/>
      <c r="GV58" s="31"/>
      <c r="GW58" s="34" t="s">
        <v>227</v>
      </c>
      <c r="GX58" s="31"/>
      <c r="GY58" s="34"/>
      <c r="GZ58" s="31" t="s">
        <v>894</v>
      </c>
      <c r="HA58" s="34"/>
      <c r="HB58" s="31" t="s">
        <v>333</v>
      </c>
      <c r="HC58" s="34"/>
      <c r="HD58" s="30" t="s">
        <v>102</v>
      </c>
      <c r="HE58" s="34" t="s">
        <v>901</v>
      </c>
      <c r="HF58" s="31"/>
      <c r="HG58" s="34" t="s">
        <v>925</v>
      </c>
      <c r="HH58" s="31"/>
      <c r="HI58" s="34"/>
      <c r="HJ58" s="31"/>
      <c r="HK58" s="34" t="s">
        <v>77</v>
      </c>
      <c r="HL58" s="31"/>
      <c r="HM58" s="34"/>
      <c r="HN58" s="31"/>
      <c r="HO58" s="34" t="s">
        <v>523</v>
      </c>
      <c r="HP58" s="31"/>
      <c r="HQ58" s="34" t="s">
        <v>1303</v>
      </c>
      <c r="HR58" s="31"/>
      <c r="HS58" s="34" t="s">
        <v>195</v>
      </c>
      <c r="HT58" s="31"/>
      <c r="HU58" s="34" t="s">
        <v>183</v>
      </c>
      <c r="HV58" s="31"/>
      <c r="HW58" s="34"/>
      <c r="HX58" s="39" t="s">
        <v>163</v>
      </c>
      <c r="HY58" s="39" t="s">
        <v>877</v>
      </c>
      <c r="HZ58" s="31"/>
      <c r="IA58" s="34" t="s">
        <v>544</v>
      </c>
      <c r="IB58" s="31"/>
      <c r="IC58" s="34" t="s">
        <v>856</v>
      </c>
      <c r="ID58" s="31"/>
      <c r="IE58" s="34"/>
      <c r="IF58" s="31" t="s">
        <v>513</v>
      </c>
      <c r="IG58" s="34"/>
      <c r="IH58" s="31"/>
      <c r="II58" s="34"/>
      <c r="IJ58" s="31"/>
      <c r="IK58" s="34" t="s">
        <v>937</v>
      </c>
      <c r="IL58" s="31"/>
      <c r="IM58" s="34" t="s">
        <v>175</v>
      </c>
      <c r="IN58" s="31"/>
      <c r="IO58" s="34"/>
      <c r="IP58" s="31" t="s">
        <v>45</v>
      </c>
      <c r="IQ58" s="34"/>
      <c r="IR58" s="31"/>
      <c r="IS58" s="34"/>
      <c r="IT58" s="31" t="s">
        <v>855</v>
      </c>
      <c r="IU58" s="34"/>
      <c r="IV58" s="31" t="s">
        <v>315</v>
      </c>
      <c r="IW58" s="34"/>
      <c r="IX58" s="31"/>
      <c r="IY58" s="34"/>
      <c r="IZ58" s="31"/>
      <c r="JA58" s="34" t="s">
        <v>871</v>
      </c>
      <c r="JB58" s="36"/>
    </row>
    <row r="59" spans="1:262" ht="30" customHeight="1" x14ac:dyDescent="0.25">
      <c r="A59" s="28" t="s">
        <v>1287</v>
      </c>
      <c r="B59" s="48" t="str">
        <f t="shared" si="1"/>
        <v>1st Choice Development
ACR Solar
Alpha Energy Management, Inc.
Apollo Home Performance
Aztec Solar Inc.
Bright Power
Byers
California Solar Electric Cooperative
California Solar Integrators, Inc.
California State Development
Capital City Solar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Future Energy Corporation
Gold Rush Energy Solutions
Green Water and Power
GRID Alternatives
GS Homes
GTi Solar Construction
Horizon Solar Power
Ilum Solar
Infinity Energy Inc
Kuubix Energy, Inc.
LA Solar Group
Laibach Solar
LLUMETEC
Mack Electric/Gardner Energy
North State Solar Energy Construction
NRG Clean Power
Pacific Rim ConstructioRAM SOLAR
Promise Energy Inc
REC Solar
Revel Energy
Royal Aire Inc
Sage Energy Consulting
Semper Solaris
Sierra Pacific
Solar Gain West LLC
Solar Pros Inc.
Solar Savings Direct
SolarNorcal, LLC
Spreck Energy
Stem, Inc.
Stronghold Engineering
Sun Power by Ambrose
Sun River Solar
Sunnova Energy
SunPower by Hooked On Solar
SunPower Corporation
SunStor
Sunterra Solar Inc
Sunworks
Sustainable Energy Group
Swell Energy
Trinity Power
V3 Electric Inc
Vivint Solar
Westhaven Inc.
Your Energy Source (YES)</v>
      </c>
      <c r="C59" s="29" t="s">
        <v>857</v>
      </c>
      <c r="D59" s="32"/>
      <c r="E59" s="35"/>
      <c r="F59" s="32"/>
      <c r="G59" s="35" t="s">
        <v>866</v>
      </c>
      <c r="H59" s="32"/>
      <c r="I59" s="35"/>
      <c r="J59" s="32"/>
      <c r="K59" s="35"/>
      <c r="L59" s="32"/>
      <c r="M59" s="35"/>
      <c r="N59" s="30" t="s">
        <v>1295</v>
      </c>
      <c r="O59" s="35"/>
      <c r="P59" s="32"/>
      <c r="Q59" s="35"/>
      <c r="R59" s="32"/>
      <c r="S59" s="35"/>
      <c r="T59" s="32"/>
      <c r="U59" s="35" t="s">
        <v>915</v>
      </c>
      <c r="V59" s="32"/>
      <c r="W59" s="35"/>
      <c r="X59" s="32" t="s">
        <v>401</v>
      </c>
      <c r="Y59" s="35"/>
      <c r="Z59" s="32"/>
      <c r="AA59" s="35"/>
      <c r="AB59" s="32"/>
      <c r="AC59" s="35"/>
      <c r="AD59" s="32"/>
      <c r="AE59" s="35"/>
      <c r="AF59" s="32"/>
      <c r="AG59" s="35"/>
      <c r="AH59" s="32"/>
      <c r="AI59" s="35" t="s">
        <v>202</v>
      </c>
      <c r="AJ59" s="32"/>
      <c r="AK59" s="35" t="s">
        <v>882</v>
      </c>
      <c r="AL59" s="32"/>
      <c r="AM59" s="35"/>
      <c r="AN59" s="32" t="s">
        <v>505</v>
      </c>
      <c r="AO59" s="35" t="s">
        <v>497</v>
      </c>
      <c r="AP59" s="32" t="s">
        <v>1231</v>
      </c>
      <c r="AQ59" s="35"/>
      <c r="AR59" s="32" t="s">
        <v>923</v>
      </c>
      <c r="AS59" s="35" t="s">
        <v>60</v>
      </c>
      <c r="AT59" s="32" t="s">
        <v>205</v>
      </c>
      <c r="AU59" s="35"/>
      <c r="AV59" s="32" t="s">
        <v>199</v>
      </c>
      <c r="AW59" s="35"/>
      <c r="AX59" s="32"/>
      <c r="AY59" s="35"/>
      <c r="AZ59" s="32"/>
      <c r="BA59" s="35" t="s">
        <v>351</v>
      </c>
      <c r="BB59" s="32"/>
      <c r="BC59" s="35"/>
      <c r="BD59" s="32"/>
      <c r="BE59" s="35" t="s">
        <v>1215</v>
      </c>
      <c r="BF59" s="32"/>
      <c r="BG59" s="35"/>
      <c r="BH59" s="32"/>
      <c r="BI59" s="35"/>
      <c r="BJ59" s="32" t="s">
        <v>321</v>
      </c>
      <c r="BK59" s="35"/>
      <c r="BL59" s="32"/>
      <c r="BM59" s="35"/>
      <c r="BN59" s="32"/>
      <c r="BO59" s="35"/>
      <c r="BP59" s="32"/>
      <c r="BQ59" s="35" t="s">
        <v>391</v>
      </c>
      <c r="BR59" s="32"/>
      <c r="BS59" s="35"/>
      <c r="BT59" s="32"/>
      <c r="BU59" s="35"/>
      <c r="BV59" s="32" t="s">
        <v>330</v>
      </c>
      <c r="BW59" s="35" t="s">
        <v>532</v>
      </c>
      <c r="BX59" s="32" t="s">
        <v>280</v>
      </c>
      <c r="BY59" s="35"/>
      <c r="BZ59" s="32"/>
      <c r="CA59" s="35" t="s">
        <v>853</v>
      </c>
      <c r="CB59" s="32"/>
      <c r="CC59" s="35"/>
      <c r="CD59" s="32"/>
      <c r="CE59" s="35" t="s">
        <v>275</v>
      </c>
      <c r="CF59" s="32"/>
      <c r="CG59" s="35"/>
      <c r="CH59" s="32"/>
      <c r="CI59" s="35"/>
      <c r="CJ59" s="32" t="s">
        <v>323</v>
      </c>
      <c r="CK59" s="35"/>
      <c r="CL59" s="32"/>
      <c r="CM59" s="35"/>
      <c r="CN59" s="32" t="s">
        <v>487</v>
      </c>
      <c r="CO59" s="35"/>
      <c r="CP59" s="32"/>
      <c r="CQ59" s="35"/>
      <c r="CR59" s="32"/>
      <c r="CS59" s="35" t="s">
        <v>892</v>
      </c>
      <c r="CT59" s="32"/>
      <c r="CU59" s="35" t="s">
        <v>99</v>
      </c>
      <c r="CV59" s="32" t="s">
        <v>852</v>
      </c>
      <c r="CW59" s="35" t="s">
        <v>167</v>
      </c>
      <c r="CX59" s="32"/>
      <c r="CY59" s="35"/>
      <c r="CZ59" s="32"/>
      <c r="DA59" s="35"/>
      <c r="DB59" s="32"/>
      <c r="DC59" s="35"/>
      <c r="DD59" s="32"/>
      <c r="DE59" s="35" t="s">
        <v>134</v>
      </c>
      <c r="DF59" s="32"/>
      <c r="DG59" s="35"/>
      <c r="DH59" s="32"/>
      <c r="DI59" s="35"/>
      <c r="DJ59" s="32" t="s">
        <v>272</v>
      </c>
      <c r="DK59" s="35"/>
      <c r="DL59" s="32" t="s">
        <v>428</v>
      </c>
      <c r="DM59" s="35"/>
      <c r="DN59" s="32"/>
      <c r="DO59" s="35"/>
      <c r="DP59" s="32"/>
      <c r="DQ59" s="35"/>
      <c r="DR59" s="32"/>
      <c r="DS59" s="35"/>
      <c r="DT59" s="32"/>
      <c r="DU59" s="35"/>
      <c r="DV59" s="32" t="s">
        <v>109</v>
      </c>
      <c r="DW59" s="35" t="s">
        <v>895</v>
      </c>
      <c r="DX59" s="32" t="s">
        <v>932</v>
      </c>
      <c r="DY59" s="35"/>
      <c r="DZ59" s="32"/>
      <c r="EA59" s="35" t="s">
        <v>595</v>
      </c>
      <c r="EB59" s="32"/>
      <c r="EC59" s="35"/>
      <c r="ED59" s="32"/>
      <c r="EE59" s="35" t="s">
        <v>83</v>
      </c>
      <c r="EF59" s="32"/>
      <c r="EG59" s="35"/>
      <c r="EH59" s="32"/>
      <c r="EI59" s="35"/>
      <c r="EJ59" s="32"/>
      <c r="EK59" s="35"/>
      <c r="EL59" s="32"/>
      <c r="EM59" s="35"/>
      <c r="EN59" s="32"/>
      <c r="EO59" s="35"/>
      <c r="EP59" s="32"/>
      <c r="EQ59" s="35" t="s">
        <v>363</v>
      </c>
      <c r="ER59" s="32"/>
      <c r="ES59" s="35" t="s">
        <v>935</v>
      </c>
      <c r="ET59" s="32"/>
      <c r="EU59" s="35"/>
      <c r="EV59" s="32"/>
      <c r="EW59" s="35" t="s">
        <v>983</v>
      </c>
      <c r="EX59" s="32"/>
      <c r="EY59" s="35"/>
      <c r="EZ59" s="32"/>
      <c r="FA59" s="35"/>
      <c r="FB59" s="32"/>
      <c r="FC59" s="35"/>
      <c r="FD59" s="32" t="s">
        <v>484</v>
      </c>
      <c r="FE59" s="35"/>
      <c r="FF59" s="32"/>
      <c r="FG59" s="35"/>
      <c r="FH59" s="32"/>
      <c r="FI59" s="35" t="s">
        <v>354</v>
      </c>
      <c r="FJ59" s="32"/>
      <c r="FK59" s="35" t="s">
        <v>341</v>
      </c>
      <c r="FL59" s="32"/>
      <c r="FM59" s="35" t="s">
        <v>312</v>
      </c>
      <c r="FN59" s="32" t="s">
        <v>465</v>
      </c>
      <c r="FO59" s="35"/>
      <c r="FP59" s="32"/>
      <c r="FQ59" s="35"/>
      <c r="FR59" s="32"/>
      <c r="FS59" s="40"/>
      <c r="FT59" s="40"/>
      <c r="FU59" s="35" t="s">
        <v>630</v>
      </c>
      <c r="FV59" s="32"/>
      <c r="FW59" s="35" t="s">
        <v>886</v>
      </c>
      <c r="FX59" s="32"/>
      <c r="FY59" s="35"/>
      <c r="FZ59" s="32"/>
      <c r="GA59" s="35"/>
      <c r="GB59" s="32"/>
      <c r="GC59" s="35"/>
      <c r="GD59" s="32"/>
      <c r="GE59" s="35"/>
      <c r="GF59" s="32"/>
      <c r="GG59" s="35"/>
      <c r="GH59" s="32"/>
      <c r="GI59" s="35" t="s">
        <v>454</v>
      </c>
      <c r="GJ59" s="32"/>
      <c r="GK59" s="35"/>
      <c r="GL59" s="32"/>
      <c r="GM59" s="35" t="s">
        <v>501</v>
      </c>
      <c r="GN59" s="32"/>
      <c r="GO59" s="35" t="s">
        <v>96</v>
      </c>
      <c r="GP59" s="32"/>
      <c r="GQ59" s="35"/>
      <c r="GR59" s="32"/>
      <c r="GS59" s="35"/>
      <c r="GT59" s="32"/>
      <c r="GU59" s="35" t="s">
        <v>160</v>
      </c>
      <c r="GV59" s="32"/>
      <c r="GW59" s="35"/>
      <c r="GX59" s="32"/>
      <c r="GY59" s="35"/>
      <c r="GZ59" s="32" t="s">
        <v>894</v>
      </c>
      <c r="HA59" s="35"/>
      <c r="HB59" s="32"/>
      <c r="HC59" s="35"/>
      <c r="HD59" s="30" t="s">
        <v>102</v>
      </c>
      <c r="HE59" s="35" t="s">
        <v>901</v>
      </c>
      <c r="HF59" s="32"/>
      <c r="HG59" s="35" t="s">
        <v>925</v>
      </c>
      <c r="HH59" s="32" t="s">
        <v>297</v>
      </c>
      <c r="HI59" s="35"/>
      <c r="HJ59" s="32"/>
      <c r="HK59" s="35"/>
      <c r="HL59" s="32"/>
      <c r="HM59" s="35"/>
      <c r="HN59" s="32"/>
      <c r="HO59" s="35" t="s">
        <v>523</v>
      </c>
      <c r="HP59" s="32"/>
      <c r="HQ59" s="35" t="s">
        <v>1303</v>
      </c>
      <c r="HR59" s="32"/>
      <c r="HS59" s="35" t="s">
        <v>195</v>
      </c>
      <c r="HT59" s="32"/>
      <c r="HU59" s="35" t="s">
        <v>183</v>
      </c>
      <c r="HV59" s="32"/>
      <c r="HW59" s="35"/>
      <c r="HX59" s="40" t="s">
        <v>163</v>
      </c>
      <c r="HY59" s="40" t="s">
        <v>877</v>
      </c>
      <c r="HZ59" s="32" t="s">
        <v>49</v>
      </c>
      <c r="IA59" s="35"/>
      <c r="IB59" s="32"/>
      <c r="IC59" s="35" t="s">
        <v>856</v>
      </c>
      <c r="ID59" s="32"/>
      <c r="IE59" s="35"/>
      <c r="IF59" s="32"/>
      <c r="IG59" s="35"/>
      <c r="IH59" s="32"/>
      <c r="II59" s="35"/>
      <c r="IJ59" s="32"/>
      <c r="IK59" s="35" t="s">
        <v>937</v>
      </c>
      <c r="IL59" s="32"/>
      <c r="IM59" s="35" t="s">
        <v>175</v>
      </c>
      <c r="IN59" s="32"/>
      <c r="IO59" s="35"/>
      <c r="IP59" s="32" t="s">
        <v>45</v>
      </c>
      <c r="IQ59" s="35"/>
      <c r="IR59" s="32"/>
      <c r="IS59" s="35"/>
      <c r="IT59" s="32"/>
      <c r="IU59" s="35"/>
      <c r="IV59" s="32" t="s">
        <v>315</v>
      </c>
      <c r="IW59" s="35"/>
      <c r="IX59" s="32"/>
      <c r="IY59" s="35"/>
      <c r="IZ59" s="32"/>
      <c r="JA59" s="35" t="s">
        <v>871</v>
      </c>
      <c r="JB59" s="37"/>
    </row>
    <row r="62" spans="1:262" ht="30" customHeight="1" thickBot="1" x14ac:dyDescent="0.3">
      <c r="B62" s="24" t="s">
        <v>1427</v>
      </c>
    </row>
    <row r="63" spans="1:262" ht="30" customHeight="1" thickTop="1" x14ac:dyDescent="0.25">
      <c r="B63" s="49" t="str">
        <f>IF(VLOOKUP('Search by County'!$B$5,'Counties Served (2)'!$A$1:$JB$59,3,FALSE)=0,"↓",VLOOKUP('Search by County'!$B$5,'Counties Served (2)'!$A$1:$JB$59,3,FALSE))</f>
        <v>1st Choice Development</v>
      </c>
    </row>
    <row r="64" spans="1:262" ht="30" customHeight="1" x14ac:dyDescent="0.25">
      <c r="B64" s="50" t="str">
        <f>IF(VLOOKUP('Search by County'!$B$5,'Counties Served (2)'!$A$1:$JB$59,4,FALSE)=0,"↓",VLOOKUP('Search by County'!$B$5,'Counties Served (2)'!$A$1:$JB$59,4,FALSE))</f>
        <v>3fficient</v>
      </c>
    </row>
    <row r="65" spans="2:2" ht="30" customHeight="1" x14ac:dyDescent="0.25">
      <c r="B65" s="50" t="str">
        <f>IF(VLOOKUP('Search by County'!$B$5,'Counties Served (2)'!$A$1:$JB$59,5,FALSE)=0,"↓",VLOOKUP('Search by County'!$B$5,'Counties Served (2)'!$A$1:$JB$59,5,FALSE))</f>
        <v>↓</v>
      </c>
    </row>
    <row r="66" spans="2:2" ht="30" customHeight="1" x14ac:dyDescent="0.25">
      <c r="B66" s="50" t="str">
        <f>IF(VLOOKUP('Search by County'!$B$5,'Counties Served (2)'!$A$1:$JB$59,6,FALSE)=0,"↓",VLOOKUP('Search by County'!$B$5,'Counties Served (2)'!$A$1:$JB$59,6,FALSE))</f>
        <v>↓</v>
      </c>
    </row>
    <row r="67" spans="2:2" ht="30" customHeight="1" x14ac:dyDescent="0.25">
      <c r="B67" s="50" t="str">
        <f>IF(VLOOKUP('Search by County'!$B$5,'Counties Served (2)'!$A$1:$JB$59,7,FALSE)=0,"↓",VLOOKUP('Search by County'!$B$5,'Counties Served (2)'!$A$1:$JB$59,7,FALSE))</f>
        <v>ACR Solar</v>
      </c>
    </row>
    <row r="68" spans="2:2" ht="30" customHeight="1" x14ac:dyDescent="0.25">
      <c r="B68" s="50" t="str">
        <f>IF(VLOOKUP('Search by County'!$B$5,'Counties Served (2)'!$A$1:$JB$59,8,FALSE)=0,"↓",VLOOKUP('Search by County'!$B$5,'Counties Served (2)'!$A$1:$JB$59,8,FALSE))</f>
        <v>↓</v>
      </c>
    </row>
    <row r="69" spans="2:2" ht="30" customHeight="1" x14ac:dyDescent="0.25">
      <c r="B69" s="50" t="str">
        <f>IF(VLOOKUP('Search by County'!$B$5,'Counties Served (2)'!$A$1:$JB$59,9,FALSE)=0,"↓",VLOOKUP('Search by County'!$B$5,'Counties Served (2)'!$A$1:$JB$59,9,FALSE))</f>
        <v>↓</v>
      </c>
    </row>
    <row r="70" spans="2:2" ht="30" customHeight="1" x14ac:dyDescent="0.25">
      <c r="B70" s="50" t="str">
        <f>IF(VLOOKUP('Search by County'!$B$5,'Counties Served (2)'!$A$1:$JB$59,10,FALSE)=0,"↓",VLOOKUP('Search by County'!$B$5,'Counties Served (2)'!$A$1:$JB$59,10,FALSE))</f>
        <v>↓</v>
      </c>
    </row>
    <row r="71" spans="2:2" ht="30" customHeight="1" x14ac:dyDescent="0.25">
      <c r="B71" s="50" t="str">
        <f>IF(VLOOKUP('Search by County'!$B$5,'Counties Served (2)'!$A$1:$JB$59,11,FALSE)=0,"↓",VLOOKUP('Search by County'!$B$5,'Counties Served (2)'!$A$1:$JB$59,11,FALSE))</f>
        <v>↓</v>
      </c>
    </row>
    <row r="72" spans="2:2" ht="30" customHeight="1" x14ac:dyDescent="0.25">
      <c r="B72" s="50" t="str">
        <f>IF(VLOOKUP('Search by County'!$B$5,'Counties Served (2)'!$A$1:$JB$59,12,FALSE)=0,"↓",VLOOKUP('Search by County'!$B$5,'Counties Served (2)'!$A$1:$JB$59,12,FALSE))</f>
        <v>↓</v>
      </c>
    </row>
    <row r="73" spans="2:2" ht="30" customHeight="1" x14ac:dyDescent="0.25">
      <c r="B73" s="50" t="str">
        <f>IF(VLOOKUP('Search by County'!$B$5,'Counties Served (2)'!$A$1:$JB$59,13,FALSE)=0,"↓",VLOOKUP('Search by County'!$B$5,'Counties Served (2)'!$A$1:$JB$59,13,FALSE))</f>
        <v>↓</v>
      </c>
    </row>
    <row r="74" spans="2:2" ht="30" customHeight="1" x14ac:dyDescent="0.25">
      <c r="B74" s="50" t="str">
        <f>IF(VLOOKUP('Search by County'!$B$5,'Counties Served (2)'!$A$1:$JB$59,14,FALSE)=0,"↓",VLOOKUP('Search by County'!$B$5,'Counties Served (2)'!$A$1:$JB$59,14,FALSE))</f>
        <v>Alpha Energy Management, Inc.</v>
      </c>
    </row>
    <row r="75" spans="2:2" ht="30" customHeight="1" x14ac:dyDescent="0.25">
      <c r="B75" s="50" t="str">
        <f>IF(VLOOKUP('Search by County'!$B$5,'Counties Served (2)'!$A$1:$JB$59,15,FALSE)=0,"↓",VLOOKUP('Search by County'!$B$5,'Counties Served (2)'!$A$1:$JB$59,15,FALSE))</f>
        <v>↓</v>
      </c>
    </row>
    <row r="76" spans="2:2" ht="30" customHeight="1" x14ac:dyDescent="0.25">
      <c r="B76" s="50" t="str">
        <f>IF(VLOOKUP('Search by County'!$B$5,'Counties Served (2)'!$A$1:$JB$59,16,FALSE)=0,"↓",VLOOKUP('Search by County'!$B$5,'Counties Served (2)'!$A$1:$JB$59,16,FALSE))</f>
        <v>↓</v>
      </c>
    </row>
    <row r="77" spans="2:2" ht="30" customHeight="1" x14ac:dyDescent="0.25">
      <c r="B77" s="50" t="str">
        <f>IF(VLOOKUP('Search by County'!$B$5,'Counties Served (2)'!$A$1:$JB$59,17,FALSE)=0,"↓",VLOOKUP('Search by County'!$B$5,'Counties Served (2)'!$A$1:$JB$59,17,FALSE))</f>
        <v>↓</v>
      </c>
    </row>
    <row r="78" spans="2:2" ht="30" customHeight="1" x14ac:dyDescent="0.25">
      <c r="B78" s="50" t="str">
        <f>IF(VLOOKUP('Search by County'!$B$5,'Counties Served (2)'!$A$1:$JB$59,18,FALSE)=0,"↓",VLOOKUP('Search by County'!$B$5,'Counties Served (2)'!$A$1:$JB$59,18,FALSE))</f>
        <v>↓</v>
      </c>
    </row>
    <row r="79" spans="2:2" ht="30" customHeight="1" x14ac:dyDescent="0.25">
      <c r="B79" s="50" t="str">
        <f>IF(VLOOKUP('Search by County'!$B$5,'Counties Served (2)'!$A$1:$JB$59,19,FALSE)=0,"↓",VLOOKUP('Search by County'!$B$5,'Counties Served (2)'!$A$1:$JB$59,19,FALSE))</f>
        <v>Ambrose Construction Inc</v>
      </c>
    </row>
    <row r="80" spans="2:2" ht="30" customHeight="1" x14ac:dyDescent="0.25">
      <c r="B80" s="50" t="str">
        <f>IF(VLOOKUP('Search by County'!$B$5,'Counties Served (2)'!$A$1:$JB$59,20,FALSE)=0,"↓",VLOOKUP('Search by County'!$B$5,'Counties Served (2)'!$A$1:$JB$59,20,FALSE))</f>
        <v>↓</v>
      </c>
    </row>
    <row r="81" spans="2:2" ht="30" customHeight="1" x14ac:dyDescent="0.25">
      <c r="B81" s="50" t="str">
        <f>IF(VLOOKUP('Search by County'!$B$5,'Counties Served (2)'!$A$1:$JB$59,21,FALSE)=0,"↓",VLOOKUP('Search by County'!$B$5,'Counties Served (2)'!$A$1:$JB$59,21,FALSE))</f>
        <v>Apollo Home Performance</v>
      </c>
    </row>
    <row r="82" spans="2:2" ht="30" customHeight="1" x14ac:dyDescent="0.25">
      <c r="B82" s="50" t="str">
        <f>IF(VLOOKUP('Search by County'!$B$5,'Counties Served (2)'!$A$1:$JB$59,22,FALSE)=0,"↓",VLOOKUP('Search by County'!$B$5,'Counties Served (2)'!$A$1:$JB$59,22,FALSE))</f>
        <v>↓</v>
      </c>
    </row>
    <row r="83" spans="2:2" ht="30" customHeight="1" x14ac:dyDescent="0.25">
      <c r="B83" s="50" t="str">
        <f>IF(VLOOKUP('Search by County'!$B$5,'Counties Served (2)'!$A$1:$JB$59,23,FALSE)=0,"↓",VLOOKUP('Search by County'!$B$5,'Counties Served (2)'!$A$1:$JB$59,23,FALSE))</f>
        <v>↓</v>
      </c>
    </row>
    <row r="84" spans="2:2" ht="30" customHeight="1" x14ac:dyDescent="0.25">
      <c r="B84" s="50" t="str">
        <f>IF(VLOOKUP('Search by County'!$B$5,'Counties Served (2)'!$A$1:$JB$59,24,FALSE)=0,"↓",VLOOKUP('Search by County'!$B$5,'Counties Served (2)'!$A$1:$JB$59,24,FALSE))</f>
        <v>Aztec Solar Inc.</v>
      </c>
    </row>
    <row r="85" spans="2:2" ht="30" customHeight="1" x14ac:dyDescent="0.25">
      <c r="B85" s="50" t="str">
        <f>IF(VLOOKUP('Search by County'!$B$5,'Counties Served (2)'!$A$1:$JB$59,25,FALSE)=0,"↓",VLOOKUP('Search by County'!$B$5,'Counties Served (2)'!$A$1:$JB$59,25,FALSE))</f>
        <v>↓</v>
      </c>
    </row>
    <row r="86" spans="2:2" ht="30" customHeight="1" x14ac:dyDescent="0.25">
      <c r="B86" s="50" t="str">
        <f>IF(VLOOKUP('Search by County'!$B$5,'Counties Served (2)'!$A$1:$JB$59,26,FALSE)=0,"↓",VLOOKUP('Search by County'!$B$5,'Counties Served (2)'!$A$1:$JB$59,26,FALSE))</f>
        <v>↓</v>
      </c>
    </row>
    <row r="87" spans="2:2" ht="30" customHeight="1" x14ac:dyDescent="0.25">
      <c r="B87" s="50" t="str">
        <f>IF(VLOOKUP('Search by County'!$B$5,'Counties Served (2)'!$A$1:$JB$59,27,FALSE)=0,"↓",VLOOKUP('Search by County'!$B$5,'Counties Served (2)'!$A$1:$JB$59,27,FALSE))</f>
        <v>↓</v>
      </c>
    </row>
    <row r="88" spans="2:2" ht="30" customHeight="1" x14ac:dyDescent="0.25">
      <c r="B88" s="50" t="str">
        <f>IF(VLOOKUP('Search by County'!$B$5,'Counties Served (2)'!$A$1:$JB$59,28,FALSE)=0,"↓",VLOOKUP('Search by County'!$B$5,'Counties Served (2)'!$A$1:$JB$59,28,FALSE))</f>
        <v>↓</v>
      </c>
    </row>
    <row r="89" spans="2:2" ht="30" customHeight="1" x14ac:dyDescent="0.25">
      <c r="B89" s="50" t="str">
        <f>IF(VLOOKUP('Search by County'!$B$5,'Counties Served (2)'!$A$1:$JB$59,29,FALSE)=0,"↓",VLOOKUP('Search by County'!$B$5,'Counties Served (2)'!$A$1:$JB$59,29,FALSE))</f>
        <v>↓</v>
      </c>
    </row>
    <row r="90" spans="2:2" ht="30" customHeight="1" x14ac:dyDescent="0.25">
      <c r="B90" s="50" t="str">
        <f>IF(VLOOKUP('Search by County'!$B$5,'Counties Served (2)'!$A$1:$JB$59,30,FALSE)=0,"↓",VLOOKUP('Search by County'!$B$5,'Counties Served (2)'!$A$1:$JB$59,30,FALSE))</f>
        <v>↓</v>
      </c>
    </row>
    <row r="91" spans="2:2" ht="30" customHeight="1" x14ac:dyDescent="0.25">
      <c r="B91" s="50" t="str">
        <f>IF(VLOOKUP('Search by County'!$B$5,'Counties Served (2)'!$A$1:$JB$59,31,FALSE)=0,"↓",VLOOKUP('Search by County'!$B$5,'Counties Served (2)'!$A$1:$JB$59,31,FALSE))</f>
        <v>↓</v>
      </c>
    </row>
    <row r="92" spans="2:2" ht="30" customHeight="1" x14ac:dyDescent="0.25">
      <c r="B92" s="50" t="str">
        <f>IF(VLOOKUP('Search by County'!$B$5,'Counties Served (2)'!$A$1:$JB$59,32,FALSE)=0,"↓",VLOOKUP('Search by County'!$B$5,'Counties Served (2)'!$A$1:$JB$59,32,FALSE))</f>
        <v>↓</v>
      </c>
    </row>
    <row r="93" spans="2:2" ht="30" customHeight="1" x14ac:dyDescent="0.25">
      <c r="B93" s="50" t="str">
        <f>IF(VLOOKUP('Search by County'!$B$5,'Counties Served (2)'!$A$1:$JB$59,33,FALSE)=0,"↓",VLOOKUP('Search by County'!$B$5,'Counties Served (2)'!$A$1:$JB$59,33,FALSE))</f>
        <v>↓</v>
      </c>
    </row>
    <row r="94" spans="2:2" ht="30" customHeight="1" x14ac:dyDescent="0.25">
      <c r="B94" s="50" t="str">
        <f>IF(VLOOKUP('Search by County'!$B$5,'Counties Served (2)'!$A$1:$JB$59,34,FALSE)=0,"↓",VLOOKUP('Search by County'!$B$5,'Counties Served (2)'!$A$1:$JB$59,34,FALSE))</f>
        <v>↓</v>
      </c>
    </row>
    <row r="95" spans="2:2" ht="30" customHeight="1" x14ac:dyDescent="0.25">
      <c r="B95" s="50" t="str">
        <f>IF(VLOOKUP('Search by County'!$B$5,'Counties Served (2)'!$A$1:$JB$59,35,FALSE)=0,"↓",VLOOKUP('Search by County'!$B$5,'Counties Served (2)'!$A$1:$JB$59,35,FALSE))</f>
        <v>Bright Power</v>
      </c>
    </row>
    <row r="96" spans="2:2" ht="30" customHeight="1" x14ac:dyDescent="0.25">
      <c r="B96" s="50" t="str">
        <f>IF(VLOOKUP('Search by County'!$B$5,'Counties Served (2)'!$A$1:$JB$59,36,FALSE)=0,"↓",VLOOKUP('Search by County'!$B$5,'Counties Served (2)'!$A$1:$JB$59,36,FALSE))</f>
        <v>↓</v>
      </c>
    </row>
    <row r="97" spans="2:2" ht="30" customHeight="1" x14ac:dyDescent="0.25">
      <c r="B97" s="50" t="str">
        <f>IF(VLOOKUP('Search by County'!$B$5,'Counties Served (2)'!$A$1:$JB$59,37,FALSE)=0,"↓",VLOOKUP('Search by County'!$B$5,'Counties Served (2)'!$A$1:$JB$59,37,FALSE))</f>
        <v>Byers</v>
      </c>
    </row>
    <row r="98" spans="2:2" ht="30" customHeight="1" x14ac:dyDescent="0.25">
      <c r="B98" s="50" t="str">
        <f>IF(VLOOKUP('Search by County'!$B$5,'Counties Served (2)'!$A$1:$JB$59,38,FALSE)=0,"↓",VLOOKUP('Search by County'!$B$5,'Counties Served (2)'!$A$1:$JB$59,38,FALSE))</f>
        <v>↓</v>
      </c>
    </row>
    <row r="99" spans="2:2" ht="30" customHeight="1" x14ac:dyDescent="0.25">
      <c r="B99" s="50" t="str">
        <f>IF(VLOOKUP('Search by County'!$B$5,'Counties Served (2)'!$A$1:$JB$59,39,FALSE)=0,"↓",VLOOKUP('Search by County'!$B$5,'Counties Served (2)'!$A$1:$JB$59,39,FALSE))</f>
        <v>↓</v>
      </c>
    </row>
    <row r="100" spans="2:2" ht="30" customHeight="1" x14ac:dyDescent="0.25">
      <c r="B100" s="50" t="str">
        <f>IF(VLOOKUP('Search by County'!$B$5,'Counties Served (2)'!$A$1:$JB$59,40,FALSE)=0,"↓",VLOOKUP('Search by County'!$B$5,'Counties Served (2)'!$A$1:$JB$59,40,FALSE))</f>
        <v>California Solar Electric Cooperative</v>
      </c>
    </row>
    <row r="101" spans="2:2" ht="30" customHeight="1" x14ac:dyDescent="0.25">
      <c r="B101" s="50" t="str">
        <f>IF(VLOOKUP('Search by County'!$B$5,'Counties Served (2)'!$A$1:$JB$59,41,FALSE)=0,"↓",VLOOKUP('Search by County'!$B$5,'Counties Served (2)'!$A$1:$JB$59,41,FALSE))</f>
        <v>California Solar Integrators, Inc.</v>
      </c>
    </row>
    <row r="102" spans="2:2" ht="30" customHeight="1" x14ac:dyDescent="0.25">
      <c r="B102" s="50" t="str">
        <f>IF(VLOOKUP('Search by County'!$B$5,'Counties Served (2)'!$A$1:$JB$59,42,FALSE)=0,"↓",VLOOKUP('Search by County'!$B$5,'Counties Served (2)'!$A$1:$JB$59,42,FALSE))</f>
        <v>California State Development</v>
      </c>
    </row>
    <row r="103" spans="2:2" ht="30" customHeight="1" x14ac:dyDescent="0.25">
      <c r="B103" s="50" t="str">
        <f>IF(VLOOKUP('Search by County'!$B$5,'Counties Served (2)'!$A$1:$JB$59,43,FALSE)=0,"↓",VLOOKUP('Search by County'!$B$5,'Counties Served (2)'!$A$1:$JB$59,43,FALSE))</f>
        <v>↓</v>
      </c>
    </row>
    <row r="104" spans="2:2" ht="30" customHeight="1" x14ac:dyDescent="0.25">
      <c r="B104" s="50" t="str">
        <f>IF(VLOOKUP('Search by County'!$B$5,'Counties Served (2)'!$A$1:$JB$59,44,FALSE)=0,"↓",VLOOKUP('Search by County'!$B$5,'Counties Served (2)'!$A$1:$JB$59,44,FALSE))</f>
        <v>Capital City Solar</v>
      </c>
    </row>
    <row r="105" spans="2:2" ht="30" customHeight="1" x14ac:dyDescent="0.25">
      <c r="B105" s="50" t="str">
        <f>IF(VLOOKUP('Search by County'!$B$5,'Counties Served (2)'!$A$1:$JB$59,45,FALSE)=0,"↓",VLOOKUP('Search by County'!$B$5,'Counties Served (2)'!$A$1:$JB$59,45,FALSE))</f>
        <v>Centrica Business Solutions</v>
      </c>
    </row>
    <row r="106" spans="2:2" ht="30" customHeight="1" x14ac:dyDescent="0.25">
      <c r="B106" s="50" t="str">
        <f>IF(VLOOKUP('Search by County'!$B$5,'Counties Served (2)'!$A$1:$JB$59,46,FALSE)=0,"↓",VLOOKUP('Search by County'!$B$5,'Counties Served (2)'!$A$1:$JB$59,46,FALSE))</f>
        <v>Chico Electric</v>
      </c>
    </row>
    <row r="107" spans="2:2" ht="30" customHeight="1" x14ac:dyDescent="0.25">
      <c r="B107" s="50" t="str">
        <f>IF(VLOOKUP('Search by County'!$B$5,'Counties Served (2)'!$A$1:$JB$59,47,FALSE)=0,"↓",VLOOKUP('Search by County'!$B$5,'Counties Served (2)'!$A$1:$JB$59,47,FALSE))</f>
        <v>↓</v>
      </c>
    </row>
    <row r="108" spans="2:2" ht="30" customHeight="1" x14ac:dyDescent="0.25">
      <c r="B108" s="50" t="str">
        <f>IF(VLOOKUP('Search by County'!$B$5,'Counties Served (2)'!$A$1:$JB$59,48,FALSE)=0,"↓",VLOOKUP('Search by County'!$B$5,'Counties Served (2)'!$A$1:$JB$59,48,FALSE))</f>
        <v>Citadel Roofing &amp; Solar</v>
      </c>
    </row>
    <row r="109" spans="2:2" ht="30" customHeight="1" x14ac:dyDescent="0.25">
      <c r="B109" s="50" t="str">
        <f>IF(VLOOKUP('Search by County'!$B$5,'Counties Served (2)'!$A$1:$JB$59,49,FALSE)=0,"↓",VLOOKUP('Search by County'!$B$5,'Counties Served (2)'!$A$1:$JB$59,49,FALSE))</f>
        <v>↓</v>
      </c>
    </row>
    <row r="110" spans="2:2" ht="30" customHeight="1" x14ac:dyDescent="0.25">
      <c r="B110" s="50" t="str">
        <f>IF(VLOOKUP('Search by County'!$B$5,'Counties Served (2)'!$A$1:$JB$59,50,FALSE)=0,"↓",VLOOKUP('Search by County'!$B$5,'Counties Served (2)'!$A$1:$JB$59,50,FALSE))</f>
        <v>↓</v>
      </c>
    </row>
    <row r="111" spans="2:2" ht="30" customHeight="1" x14ac:dyDescent="0.25">
      <c r="B111" s="50" t="str">
        <f>IF(VLOOKUP('Search by County'!$B$5,'Counties Served (2)'!$A$1:$JB$59,51,FALSE)=0,"↓",VLOOKUP('Search by County'!$B$5,'Counties Served (2)'!$A$1:$JB$59,51,FALSE))</f>
        <v>↓</v>
      </c>
    </row>
    <row r="112" spans="2:2" ht="30" customHeight="1" x14ac:dyDescent="0.25">
      <c r="B112" s="50" t="str">
        <f>IF(VLOOKUP('Search by County'!$B$5,'Counties Served (2)'!$A$1:$JB$59,52,FALSE)=0,"↓",VLOOKUP('Search by County'!$B$5,'Counties Served (2)'!$A$1:$JB$59,52,FALSE))</f>
        <v>↓</v>
      </c>
    </row>
    <row r="113" spans="2:2" ht="30" customHeight="1" x14ac:dyDescent="0.25">
      <c r="B113" s="50" t="str">
        <f>IF(VLOOKUP('Search by County'!$B$5,'Counties Served (2)'!$A$1:$JB$59,53,FALSE)=0,"↓",VLOOKUP('Search by County'!$B$5,'Counties Served (2)'!$A$1:$JB$59,53,FALSE))</f>
        <v>Climatec</v>
      </c>
    </row>
    <row r="114" spans="2:2" ht="30" customHeight="1" x14ac:dyDescent="0.25">
      <c r="B114" s="50" t="str">
        <f>IF(VLOOKUP('Search by County'!$B$5,'Counties Served (2)'!$A$1:$JB$59,54,FALSE)=0,"↓",VLOOKUP('Search by County'!$B$5,'Counties Served (2)'!$A$1:$JB$59,54,FALSE))</f>
        <v>↓</v>
      </c>
    </row>
    <row r="115" spans="2:2" ht="30" customHeight="1" x14ac:dyDescent="0.25">
      <c r="B115" s="50" t="str">
        <f>IF(VLOOKUP('Search by County'!$B$5,'Counties Served (2)'!$A$1:$JB$59,55,FALSE)=0,"↓",VLOOKUP('Search by County'!$B$5,'Counties Served (2)'!$A$1:$JB$59,55,FALSE))</f>
        <v>↓</v>
      </c>
    </row>
    <row r="116" spans="2:2" ht="30" customHeight="1" x14ac:dyDescent="0.25">
      <c r="B116" s="50" t="str">
        <f>IF(VLOOKUP('Search by County'!$B$5,'Counties Served (2)'!$A$1:$JB$59,56,FALSE)=0,"↓",VLOOKUP('Search by County'!$B$5,'Counties Served (2)'!$A$1:$JB$59,56,FALSE))</f>
        <v>↓</v>
      </c>
    </row>
    <row r="117" spans="2:2" ht="30" customHeight="1" x14ac:dyDescent="0.25">
      <c r="B117" s="50" t="str">
        <f>IF(VLOOKUP('Search by County'!$B$5,'Counties Served (2)'!$A$1:$JB$59,57,FALSE)=0,"↓",VLOOKUP('Search by County'!$B$5,'Counties Served (2)'!$A$1:$JB$59,57,FALSE))</f>
        <v>Communication Infrastructure Corporation (CIC)</v>
      </c>
    </row>
    <row r="118" spans="2:2" ht="30" customHeight="1" x14ac:dyDescent="0.25">
      <c r="B118" s="50" t="str">
        <f>IF(VLOOKUP('Search by County'!$B$5,'Counties Served (2)'!$A$1:$JB$59,58,FALSE)=0,"↓",VLOOKUP('Search by County'!$B$5,'Counties Served (2)'!$A$1:$JB$59,58,FALSE))</f>
        <v>↓</v>
      </c>
    </row>
    <row r="119" spans="2:2" ht="30" customHeight="1" x14ac:dyDescent="0.25">
      <c r="B119" s="50" t="str">
        <f>IF(VLOOKUP('Search by County'!$B$5,'Counties Served (2)'!$A$1:$JB$59,59,FALSE)=0,"↓",VLOOKUP('Search by County'!$B$5,'Counties Served (2)'!$A$1:$JB$59,59,FALSE))</f>
        <v>↓</v>
      </c>
    </row>
    <row r="120" spans="2:2" ht="30" customHeight="1" x14ac:dyDescent="0.25">
      <c r="B120" s="50" t="str">
        <f>IF(VLOOKUP('Search by County'!$B$5,'Counties Served (2)'!$A$1:$JB$59,60,FALSE)=0,"↓",VLOOKUP('Search by County'!$B$5,'Counties Served (2)'!$A$1:$JB$59,60,FALSE))</f>
        <v>↓</v>
      </c>
    </row>
    <row r="121" spans="2:2" ht="30" customHeight="1" x14ac:dyDescent="0.25">
      <c r="B121" s="50" t="str">
        <f>IF(VLOOKUP('Search by County'!$B$5,'Counties Served (2)'!$A$1:$JB$59,61,FALSE)=0,"↓",VLOOKUP('Search by County'!$B$5,'Counties Served (2)'!$A$1:$JB$59,61,FALSE))</f>
        <v>↓</v>
      </c>
    </row>
    <row r="122" spans="2:2" ht="30" customHeight="1" x14ac:dyDescent="0.25">
      <c r="B122" s="50" t="str">
        <f>IF(VLOOKUP('Search by County'!$B$5,'Counties Served (2)'!$A$1:$JB$59,62,FALSE)=0,"↓",VLOOKUP('Search by County'!$B$5,'Counties Served (2)'!$A$1:$JB$59,62,FALSE))</f>
        <v>DC Solar Electric, Inc</v>
      </c>
    </row>
    <row r="123" spans="2:2" ht="30" customHeight="1" x14ac:dyDescent="0.25">
      <c r="B123" s="50" t="str">
        <f>IF(VLOOKUP('Search by County'!$B$5,'Counties Served (2)'!$A$1:$JB$59,63,FALSE)=0,"↓",VLOOKUP('Search by County'!$B$5,'Counties Served (2)'!$A$1:$JB$59,63,FALSE))</f>
        <v>DEL SOL NRG, INC.</v>
      </c>
    </row>
    <row r="124" spans="2:2" ht="30" customHeight="1" x14ac:dyDescent="0.25">
      <c r="B124" s="50" t="str">
        <f>IF(VLOOKUP('Search by County'!$B$5,'Counties Served (2)'!$A$1:$JB$59,64,FALSE)=0,"↓",VLOOKUP('Search by County'!$B$5,'Counties Served (2)'!$A$1:$JB$59,64,FALSE))</f>
        <v>↓</v>
      </c>
    </row>
    <row r="125" spans="2:2" ht="30" customHeight="1" x14ac:dyDescent="0.25">
      <c r="B125" s="50" t="str">
        <f>IF(VLOOKUP('Search by County'!$B$5,'Counties Served (2)'!$A$1:$JB$59,65,FALSE)=0,"↓",VLOOKUP('Search by County'!$B$5,'Counties Served (2)'!$A$1:$JB$59,65,FALSE))</f>
        <v>↓</v>
      </c>
    </row>
    <row r="126" spans="2:2" ht="30" customHeight="1" x14ac:dyDescent="0.25">
      <c r="B126" s="50" t="str">
        <f>IF(VLOOKUP('Search by County'!$B$5,'Counties Served (2)'!$A$1:$JB$59,66,FALSE)=0,"↓",VLOOKUP('Search by County'!$B$5,'Counties Served (2)'!$A$1:$JB$59,66,FALSE))</f>
        <v>↓</v>
      </c>
    </row>
    <row r="127" spans="2:2" ht="30" customHeight="1" x14ac:dyDescent="0.25">
      <c r="B127" s="50" t="str">
        <f>IF(VLOOKUP('Search by County'!$B$5,'Counties Served (2)'!$A$1:$JB$59,67,FALSE)=0,"↓",VLOOKUP('Search by County'!$B$5,'Counties Served (2)'!$A$1:$JB$59,67,FALSE))</f>
        <v>Economic Energy Solutions</v>
      </c>
    </row>
    <row r="128" spans="2:2" ht="30" customHeight="1" x14ac:dyDescent="0.25">
      <c r="B128" s="50" t="str">
        <f>IF(VLOOKUP('Search by County'!$B$5,'Counties Served (2)'!$A$1:$JB$59,68,FALSE)=0,"↓",VLOOKUP('Search by County'!$B$5,'Counties Served (2)'!$A$1:$JB$59,68,FALSE))</f>
        <v>↓</v>
      </c>
    </row>
    <row r="129" spans="2:2" ht="30" customHeight="1" x14ac:dyDescent="0.25">
      <c r="B129" s="50" t="str">
        <f>IF(VLOOKUP('Search by County'!$B$5,'Counties Served (2)'!$A$1:$JB$59,69,FALSE)=0,"↓",VLOOKUP('Search by County'!$B$5,'Counties Served (2)'!$A$1:$JB$59,69,FALSE))</f>
        <v>EDF Renewables Distributed Solutions</v>
      </c>
    </row>
    <row r="130" spans="2:2" ht="30" customHeight="1" x14ac:dyDescent="0.25">
      <c r="B130" s="50" t="str">
        <f>IF(VLOOKUP('Search by County'!$B$5,'Counties Served (2)'!$A$1:$JB$59,70,FALSE)=0,"↓",VLOOKUP('Search by County'!$B$5,'Counties Served (2)'!$A$1:$JB$59,70,FALSE))</f>
        <v>↓</v>
      </c>
    </row>
    <row r="131" spans="2:2" ht="30" customHeight="1" x14ac:dyDescent="0.25">
      <c r="B131" s="50" t="str">
        <f>IF(VLOOKUP('Search by County'!$B$5,'Counties Served (2)'!$A$1:$JB$59,71,FALSE)=0,"↓",VLOOKUP('Search by County'!$B$5,'Counties Served (2)'!$A$1:$JB$59,71,FALSE))</f>
        <v>↓</v>
      </c>
    </row>
    <row r="132" spans="2:2" ht="30" customHeight="1" x14ac:dyDescent="0.25">
      <c r="B132" s="50" t="str">
        <f>IF(VLOOKUP('Search by County'!$B$5,'Counties Served (2)'!$A$1:$JB$59,72,FALSE)=0,"↓",VLOOKUP('Search by County'!$B$5,'Counties Served (2)'!$A$1:$JB$59,72,FALSE))</f>
        <v>↓</v>
      </c>
    </row>
    <row r="133" spans="2:2" ht="30" customHeight="1" x14ac:dyDescent="0.25">
      <c r="B133" s="50" t="str">
        <f>IF(VLOOKUP('Search by County'!$B$5,'Counties Served (2)'!$A$1:$JB$59,73,FALSE)=0,"↓",VLOOKUP('Search by County'!$B$5,'Counties Served (2)'!$A$1:$JB$59,73,FALSE))</f>
        <v>↓</v>
      </c>
    </row>
    <row r="134" spans="2:2" ht="30" customHeight="1" x14ac:dyDescent="0.25">
      <c r="B134" s="50" t="str">
        <f>IF(VLOOKUP('Search by County'!$B$5,'Counties Served (2)'!$A$1:$JB$59,74,FALSE)=0,"↓",VLOOKUP('Search by County'!$B$5,'Counties Served (2)'!$A$1:$JB$59,74,FALSE))</f>
        <v>Enable Energy, Inc.</v>
      </c>
    </row>
    <row r="135" spans="2:2" ht="30" customHeight="1" x14ac:dyDescent="0.25">
      <c r="B135" s="50" t="str">
        <f>IF(VLOOKUP('Search by County'!$B$5,'Counties Served (2)'!$A$1:$JB$59,75,FALSE)=0,"↓",VLOOKUP('Search by County'!$B$5,'Counties Served (2)'!$A$1:$JB$59,75,FALSE))</f>
        <v>Enel X North America</v>
      </c>
    </row>
    <row r="136" spans="2:2" ht="30" customHeight="1" x14ac:dyDescent="0.25">
      <c r="B136" s="50" t="str">
        <f>IF(VLOOKUP('Search by County'!$B$5,'Counties Served (2)'!$A$1:$JB$59,76,FALSE)=0,"↓",VLOOKUP('Search by County'!$B$5,'Counties Served (2)'!$A$1:$JB$59,76,FALSE))</f>
        <v>Energy Independence Group</v>
      </c>
    </row>
    <row r="137" spans="2:2" ht="30" customHeight="1" x14ac:dyDescent="0.25">
      <c r="B137" s="50" t="str">
        <f>IF(VLOOKUP('Search by County'!$B$5,'Counties Served (2)'!$A$1:$JB$59,77,FALSE)=0,"↓",VLOOKUP('Search by County'!$B$5,'Counties Served (2)'!$A$1:$JB$59,77,FALSE))</f>
        <v>↓</v>
      </c>
    </row>
    <row r="138" spans="2:2" ht="30" customHeight="1" x14ac:dyDescent="0.25">
      <c r="B138" s="50" t="str">
        <f>IF(VLOOKUP('Search by County'!$B$5,'Counties Served (2)'!$A$1:$JB$59,78,FALSE)=0,"↓",VLOOKUP('Search by County'!$B$5,'Counties Served (2)'!$A$1:$JB$59,78,FALSE))</f>
        <v>↓</v>
      </c>
    </row>
    <row r="139" spans="2:2" ht="30" customHeight="1" x14ac:dyDescent="0.25">
      <c r="B139" s="50" t="str">
        <f>IF(VLOOKUP('Search by County'!$B$5,'Counties Served (2)'!$A$1:$JB$59,79,FALSE)=0,"↓",VLOOKUP('Search by County'!$B$5,'Counties Served (2)'!$A$1:$JB$59,79,FALSE))</f>
        <v>Engie Services US</v>
      </c>
    </row>
    <row r="140" spans="2:2" ht="30" customHeight="1" x14ac:dyDescent="0.25">
      <c r="B140" s="50" t="str">
        <f>IF(VLOOKUP('Search by County'!$B$5,'Counties Served (2)'!$A$1:$JB$59,80,FALSE)=0,"↓",VLOOKUP('Search by County'!$B$5,'Counties Served (2)'!$A$1:$JB$59,80,FALSE))</f>
        <v>↓</v>
      </c>
    </row>
    <row r="141" spans="2:2" ht="30" customHeight="1" x14ac:dyDescent="0.25">
      <c r="B141" s="50" t="str">
        <f>IF(VLOOKUP('Search by County'!$B$5,'Counties Served (2)'!$A$1:$JB$59,81,FALSE)=0,"↓",VLOOKUP('Search by County'!$B$5,'Counties Served (2)'!$A$1:$JB$59,81,FALSE))</f>
        <v>↓</v>
      </c>
    </row>
    <row r="142" spans="2:2" ht="30" customHeight="1" x14ac:dyDescent="0.25">
      <c r="B142" s="50" t="str">
        <f>IF(VLOOKUP('Search by County'!$B$5,'Counties Served (2)'!$A$1:$JB$59,82,FALSE)=0,"↓",VLOOKUP('Search by County'!$B$5,'Counties Served (2)'!$A$1:$JB$59,82,FALSE))</f>
        <v>↓</v>
      </c>
    </row>
    <row r="143" spans="2:2" ht="30" customHeight="1" x14ac:dyDescent="0.25">
      <c r="B143" s="50" t="str">
        <f>IF(VLOOKUP('Search by County'!$B$5,'Counties Served (2)'!$A$1:$JB$59,83,FALSE)=0,"↓",VLOOKUP('Search by County'!$B$5,'Counties Served (2)'!$A$1:$JB$59,83,FALSE))</f>
        <v>ForeFront Power</v>
      </c>
    </row>
    <row r="144" spans="2:2" ht="30" customHeight="1" x14ac:dyDescent="0.25">
      <c r="B144" s="50" t="str">
        <f>IF(VLOOKUP('Search by County'!$B$5,'Counties Served (2)'!$A$1:$JB$59,84,FALSE)=0,"↓",VLOOKUP('Search by County'!$B$5,'Counties Served (2)'!$A$1:$JB$59,84,FALSE))</f>
        <v>↓</v>
      </c>
    </row>
    <row r="145" spans="2:2" ht="30" customHeight="1" x14ac:dyDescent="0.25">
      <c r="B145" s="50" t="str">
        <f>IF(VLOOKUP('Search by County'!$B$5,'Counties Served (2)'!$A$1:$JB$59,85,FALSE)=0,"↓",VLOOKUP('Search by County'!$B$5,'Counties Served (2)'!$A$1:$JB$59,85,FALSE))</f>
        <v>↓</v>
      </c>
    </row>
    <row r="146" spans="2:2" ht="30" customHeight="1" x14ac:dyDescent="0.25">
      <c r="B146" s="50" t="str">
        <f>IF(VLOOKUP('Search by County'!$B$5,'Counties Served (2)'!$A$1:$JB$59,86,FALSE)=0,"↓",VLOOKUP('Search by County'!$B$5,'Counties Served (2)'!$A$1:$JB$59,86,FALSE))</f>
        <v>↓</v>
      </c>
    </row>
    <row r="147" spans="2:2" ht="30" customHeight="1" x14ac:dyDescent="0.25">
      <c r="B147" s="50" t="str">
        <f>IF(VLOOKUP('Search by County'!$B$5,'Counties Served (2)'!$A$1:$JB$59,87,FALSE)=0,"↓",VLOOKUP('Search by County'!$B$5,'Counties Served (2)'!$A$1:$JB$59,87,FALSE))</f>
        <v>↓</v>
      </c>
    </row>
    <row r="148" spans="2:2" ht="30" customHeight="1" x14ac:dyDescent="0.25">
      <c r="B148" s="50" t="str">
        <f>IF(VLOOKUP('Search by County'!$B$5,'Counties Served (2)'!$A$1:$JB$59,88,FALSE)=0,"↓",VLOOKUP('Search by County'!$B$5,'Counties Served (2)'!$A$1:$JB$59,88,FALSE))</f>
        <v>Future Energy Corporation</v>
      </c>
    </row>
    <row r="149" spans="2:2" ht="30" customHeight="1" x14ac:dyDescent="0.25">
      <c r="B149" s="50" t="str">
        <f>IF(VLOOKUP('Search by County'!$B$5,'Counties Served (2)'!$A$1:$JB$59,89,FALSE)=0,"↓",VLOOKUP('Search by County'!$B$5,'Counties Served (2)'!$A$1:$JB$59,89,FALSE))</f>
        <v>↓</v>
      </c>
    </row>
    <row r="150" spans="2:2" ht="30" customHeight="1" x14ac:dyDescent="0.25">
      <c r="B150" s="50" t="str">
        <f>IF(VLOOKUP('Search by County'!$B$5,'Counties Served (2)'!$A$1:$JB$59,90,FALSE)=0,"↓",VLOOKUP('Search by County'!$B$5,'Counties Served (2)'!$A$1:$JB$59,90,FALSE))</f>
        <v>↓</v>
      </c>
    </row>
    <row r="151" spans="2:2" ht="30" customHeight="1" x14ac:dyDescent="0.25">
      <c r="B151" s="50" t="str">
        <f>IF(VLOOKUP('Search by County'!$B$5,'Counties Served (2)'!$A$1:$JB$59,91,FALSE)=0,"↓",VLOOKUP('Search by County'!$B$5,'Counties Served (2)'!$A$1:$JB$59,91,FALSE))</f>
        <v>↓</v>
      </c>
    </row>
    <row r="152" spans="2:2" ht="30" customHeight="1" x14ac:dyDescent="0.25">
      <c r="B152" s="50" t="str">
        <f>IF(VLOOKUP('Search by County'!$B$5,'Counties Served (2)'!$A$1:$JB$59,92,FALSE)=0,"↓",VLOOKUP('Search by County'!$B$5,'Counties Served (2)'!$A$1:$JB$59,92,FALSE))</f>
        <v>Gold Rush Energy Solutions</v>
      </c>
    </row>
    <row r="153" spans="2:2" ht="30" customHeight="1" x14ac:dyDescent="0.25">
      <c r="B153" s="50" t="str">
        <f>IF(VLOOKUP('Search by County'!$B$5,'Counties Served (2)'!$A$1:$JB$59,93,FALSE)=0,"↓",VLOOKUP('Search by County'!$B$5,'Counties Served (2)'!$A$1:$JB$59,93,FALSE))</f>
        <v>↓</v>
      </c>
    </row>
    <row r="154" spans="2:2" ht="30" customHeight="1" x14ac:dyDescent="0.25">
      <c r="B154" s="50" t="str">
        <f>IF(VLOOKUP('Search by County'!$B$5,'Counties Served (2)'!$A$1:$JB$59,94,FALSE)=0,"↓",VLOOKUP('Search by County'!$B$5,'Counties Served (2)'!$A$1:$JB$59,94,FALSE))</f>
        <v>↓</v>
      </c>
    </row>
    <row r="155" spans="2:2" ht="30" customHeight="1" x14ac:dyDescent="0.25">
      <c r="B155" s="50" t="str">
        <f>IF(VLOOKUP('Search by County'!$B$5,'Counties Served (2)'!$A$1:$JB$59,95,FALSE)=0,"↓",VLOOKUP('Search by County'!$B$5,'Counties Served (2)'!$A$1:$JB$59,95,FALSE))</f>
        <v>↓</v>
      </c>
    </row>
    <row r="156" spans="2:2" ht="30" customHeight="1" x14ac:dyDescent="0.25">
      <c r="B156" s="50" t="str">
        <f>IF(VLOOKUP('Search by County'!$B$5,'Counties Served (2)'!$A$1:$JB$59,96,FALSE)=0,"↓",VLOOKUP('Search by County'!$B$5,'Counties Served (2)'!$A$1:$JB$59,96,FALSE))</f>
        <v>↓</v>
      </c>
    </row>
    <row r="157" spans="2:2" ht="30" customHeight="1" x14ac:dyDescent="0.25">
      <c r="B157" s="50" t="str">
        <f>IF(VLOOKUP('Search by County'!$B$5,'Counties Served (2)'!$A$1:$JB$59,97,FALSE)=0,"↓",VLOOKUP('Search by County'!$B$5,'Counties Served (2)'!$A$1:$JB$59,97,FALSE))</f>
        <v>Green Water and Power</v>
      </c>
    </row>
    <row r="158" spans="2:2" ht="30" customHeight="1" x14ac:dyDescent="0.25">
      <c r="B158" s="50" t="str">
        <f>IF(VLOOKUP('Search by County'!$B$5,'Counties Served (2)'!$A$1:$JB$59,98,FALSE)=0,"↓",VLOOKUP('Search by County'!$B$5,'Counties Served (2)'!$A$1:$JB$59,98,FALSE))</f>
        <v>↓</v>
      </c>
    </row>
    <row r="159" spans="2:2" ht="30" customHeight="1" x14ac:dyDescent="0.25">
      <c r="B159" s="50" t="str">
        <f>IF(VLOOKUP('Search by County'!$B$5,'Counties Served (2)'!$A$1:$JB$59,99,FALSE)=0,"↓",VLOOKUP('Search by County'!$B$5,'Counties Served (2)'!$A$1:$JB$59,99,FALSE))</f>
        <v>GRID Alternatives</v>
      </c>
    </row>
    <row r="160" spans="2:2" ht="30" customHeight="1" x14ac:dyDescent="0.25">
      <c r="B160" s="50" t="str">
        <f>IF(VLOOKUP('Search by County'!$B$5,'Counties Served (2)'!$A$1:$JB$59,100,FALSE)=0,"↓",VLOOKUP('Search by County'!$B$5,'Counties Served (2)'!$A$1:$JB$59,100,FALSE))</f>
        <v>GS Homes</v>
      </c>
    </row>
    <row r="161" spans="2:2" ht="30" customHeight="1" x14ac:dyDescent="0.25">
      <c r="B161" s="50" t="str">
        <f>IF(VLOOKUP('Search by County'!$B$5,'Counties Served (2)'!$A$1:$JB$59,101,FALSE)=0,"↓",VLOOKUP('Search by County'!$B$5,'Counties Served (2)'!$A$1:$JB$59,101,FALSE))</f>
        <v>↓</v>
      </c>
    </row>
    <row r="162" spans="2:2" ht="30" customHeight="1" x14ac:dyDescent="0.25">
      <c r="B162" s="50" t="str">
        <f>IF(VLOOKUP('Search by County'!$B$5,'Counties Served (2)'!$A$1:$JB$59,102,FALSE)=0,"↓",VLOOKUP('Search by County'!$B$5,'Counties Served (2)'!$A$1:$JB$59,102,FALSE))</f>
        <v>↓</v>
      </c>
    </row>
    <row r="163" spans="2:2" ht="30" customHeight="1" x14ac:dyDescent="0.25">
      <c r="B163" s="50" t="str">
        <f>IF(VLOOKUP('Search by County'!$B$5,'Counties Served (2)'!$A$1:$JB$59,103,FALSE)=0,"↓",VLOOKUP('Search by County'!$B$5,'Counties Served (2)'!$A$1:$JB$59,103,FALSE))</f>
        <v>↓</v>
      </c>
    </row>
    <row r="164" spans="2:2" ht="30" customHeight="1" x14ac:dyDescent="0.25">
      <c r="B164" s="50" t="str">
        <f>IF(VLOOKUP('Search by County'!$B$5,'Counties Served (2)'!$A$1:$JB$59,104,FALSE)=0,"↓",VLOOKUP('Search by County'!$B$5,'Counties Served (2)'!$A$1:$JB$59,104,FALSE))</f>
        <v>↓</v>
      </c>
    </row>
    <row r="165" spans="2:2" ht="30" customHeight="1" x14ac:dyDescent="0.25">
      <c r="B165" s="50" t="str">
        <f>IF(VLOOKUP('Search by County'!$B$5,'Counties Served (2)'!$A$1:$JB$59,105,FALSE)=0,"↓",VLOOKUP('Search by County'!$B$5,'Counties Served (2)'!$A$1:$JB$59,105,FALSE))</f>
        <v>↓</v>
      </c>
    </row>
    <row r="166" spans="2:2" ht="30" customHeight="1" x14ac:dyDescent="0.25">
      <c r="B166" s="50" t="str">
        <f>IF(VLOOKUP('Search by County'!$B$5,'Counties Served (2)'!$A$1:$JB$59,106,FALSE)=0,"↓",VLOOKUP('Search by County'!$B$5,'Counties Served (2)'!$A$1:$JB$59,106,FALSE))</f>
        <v>↓</v>
      </c>
    </row>
    <row r="167" spans="2:2" ht="30" customHeight="1" x14ac:dyDescent="0.25">
      <c r="B167" s="50" t="str">
        <f>IF(VLOOKUP('Search by County'!$B$5,'Counties Served (2)'!$A$1:$JB$59,107,FALSE)=0,"↓",VLOOKUP('Search by County'!$B$5,'Counties Served (2)'!$A$1:$JB$59,107,FALSE))</f>
        <v>↓</v>
      </c>
    </row>
    <row r="168" spans="2:2" ht="30" customHeight="1" x14ac:dyDescent="0.25">
      <c r="B168" s="50" t="str">
        <f>IF(VLOOKUP('Search by County'!$B$5,'Counties Served (2)'!$A$1:$JB$59,108,FALSE)=0,"↓",VLOOKUP('Search by County'!$B$5,'Counties Served (2)'!$A$1:$JB$59,108,FALSE))</f>
        <v>↓</v>
      </c>
    </row>
    <row r="169" spans="2:2" ht="30" customHeight="1" x14ac:dyDescent="0.25">
      <c r="B169" s="50" t="str">
        <f>IF(VLOOKUP('Search by County'!$B$5,'Counties Served (2)'!$A$1:$JB$59,109,FALSE)=0,"↓",VLOOKUP('Search by County'!$B$5,'Counties Served (2)'!$A$1:$JB$59,109,FALSE))</f>
        <v>Horizon Solar Power</v>
      </c>
    </row>
    <row r="170" spans="2:2" ht="30" customHeight="1" x14ac:dyDescent="0.25">
      <c r="B170" s="50" t="str">
        <f>IF(VLOOKUP('Search by County'!$B$5,'Counties Served (2)'!$A$1:$JB$59,110,FALSE)=0,"↓",VLOOKUP('Search by County'!$B$5,'Counties Served (2)'!$A$1:$JB$59,110,FALSE))</f>
        <v>↓</v>
      </c>
    </row>
    <row r="171" spans="2:2" ht="30" customHeight="1" x14ac:dyDescent="0.25">
      <c r="B171" s="50" t="str">
        <f>IF(VLOOKUP('Search by County'!$B$5,'Counties Served (2)'!$A$1:$JB$59,111,FALSE)=0,"↓",VLOOKUP('Search by County'!$B$5,'Counties Served (2)'!$A$1:$JB$59,111,FALSE))</f>
        <v>↓</v>
      </c>
    </row>
    <row r="172" spans="2:2" ht="30" customHeight="1" x14ac:dyDescent="0.25">
      <c r="B172" s="50" t="str">
        <f>IF(VLOOKUP('Search by County'!$B$5,'Counties Served (2)'!$A$1:$JB$59,112,FALSE)=0,"↓",VLOOKUP('Search by County'!$B$5,'Counties Served (2)'!$A$1:$JB$59,112,FALSE))</f>
        <v>↓</v>
      </c>
    </row>
    <row r="173" spans="2:2" ht="30" customHeight="1" x14ac:dyDescent="0.25">
      <c r="B173" s="50" t="str">
        <f>IF(VLOOKUP('Search by County'!$B$5,'Counties Served (2)'!$A$1:$JB$59,113,FALSE)=0,"↓",VLOOKUP('Search by County'!$B$5,'Counties Served (2)'!$A$1:$JB$59,113,FALSE))</f>
        <v>I Love My Solar</v>
      </c>
    </row>
    <row r="174" spans="2:2" ht="30" customHeight="1" x14ac:dyDescent="0.25">
      <c r="B174" s="50" t="str">
        <f>IF(VLOOKUP('Search by County'!$B$5,'Counties Served (2)'!$A$1:$JB$59,114,FALSE)=0,"↓",VLOOKUP('Search by County'!$B$5,'Counties Served (2)'!$A$1:$JB$59,114,FALSE))</f>
        <v>Ilum Solar</v>
      </c>
    </row>
    <row r="175" spans="2:2" ht="30" customHeight="1" x14ac:dyDescent="0.25">
      <c r="B175" s="50" t="str">
        <f>IF(VLOOKUP('Search by County'!$B$5,'Counties Served (2)'!$A$1:$JB$59,115,FALSE)=0,"↓",VLOOKUP('Search by County'!$B$5,'Counties Served (2)'!$A$1:$JB$59,115,FALSE))</f>
        <v>↓</v>
      </c>
    </row>
    <row r="176" spans="2:2" ht="30" customHeight="1" x14ac:dyDescent="0.25">
      <c r="B176" s="50" t="str">
        <f>IF(VLOOKUP('Search by County'!$B$5,'Counties Served (2)'!$A$1:$JB$59,116,FALSE)=0,"↓",VLOOKUP('Search by County'!$B$5,'Counties Served (2)'!$A$1:$JB$59,116,FALSE))</f>
        <v>Infinity Energy Inc</v>
      </c>
    </row>
    <row r="177" spans="2:2" ht="30" customHeight="1" x14ac:dyDescent="0.25">
      <c r="B177" s="50" t="str">
        <f>IF(VLOOKUP('Search by County'!$B$5,'Counties Served (2)'!$A$1:$JB$59,117,FALSE)=0,"↓",VLOOKUP('Search by County'!$B$5,'Counties Served (2)'!$A$1:$JB$59,117,FALSE))</f>
        <v>↓</v>
      </c>
    </row>
    <row r="178" spans="2:2" ht="30" customHeight="1" x14ac:dyDescent="0.25">
      <c r="B178" s="50" t="str">
        <f>IF(VLOOKUP('Search by County'!$B$5,'Counties Served (2)'!$A$1:$JB$59,118,FALSE)=0,"↓",VLOOKUP('Search by County'!$B$5,'Counties Served (2)'!$A$1:$JB$59,118,FALSE))</f>
        <v>↓</v>
      </c>
    </row>
    <row r="179" spans="2:2" ht="30" customHeight="1" x14ac:dyDescent="0.25">
      <c r="B179" s="50" t="str">
        <f>IF(VLOOKUP('Search by County'!$B$5,'Counties Served (2)'!$A$1:$JB$59,119,FALSE)=0,"↓",VLOOKUP('Search by County'!$B$5,'Counties Served (2)'!$A$1:$JB$59,119,FALSE))</f>
        <v>↓</v>
      </c>
    </row>
    <row r="180" spans="2:2" ht="30" customHeight="1" x14ac:dyDescent="0.25">
      <c r="B180" s="50" t="str">
        <f>IF(VLOOKUP('Search by County'!$B$5,'Counties Served (2)'!$A$1:$JB$59,120,FALSE)=0,"↓",VLOOKUP('Search by County'!$B$5,'Counties Served (2)'!$A$1:$JB$59,120,FALSE))</f>
        <v>↓</v>
      </c>
    </row>
    <row r="181" spans="2:2" ht="30" customHeight="1" x14ac:dyDescent="0.25">
      <c r="B181" s="50" t="str">
        <f>IF(VLOOKUP('Search by County'!$B$5,'Counties Served (2)'!$A$1:$JB$59,121,FALSE)=0,"↓",VLOOKUP('Search by County'!$B$5,'Counties Served (2)'!$A$1:$JB$59,121,FALSE))</f>
        <v>↓</v>
      </c>
    </row>
    <row r="182" spans="2:2" ht="30" customHeight="1" x14ac:dyDescent="0.25">
      <c r="B182" s="50" t="str">
        <f>IF(VLOOKUP('Search by County'!$B$5,'Counties Served (2)'!$A$1:$JB$59,122,FALSE)=0,"↓",VLOOKUP('Search by County'!$B$5,'Counties Served (2)'!$A$1:$JB$59,122,FALSE))</f>
        <v>Jonas Energy Solutions</v>
      </c>
    </row>
    <row r="183" spans="2:2" ht="30" customHeight="1" x14ac:dyDescent="0.25">
      <c r="B183" s="50" t="str">
        <f>IF(VLOOKUP('Search by County'!$B$5,'Counties Served (2)'!$A$1:$JB$59,123,FALSE)=0,"↓",VLOOKUP('Search by County'!$B$5,'Counties Served (2)'!$A$1:$JB$59,123,FALSE))</f>
        <v>↓</v>
      </c>
    </row>
    <row r="184" spans="2:2" ht="30" customHeight="1" x14ac:dyDescent="0.25">
      <c r="B184" s="50" t="str">
        <f>IF(VLOOKUP('Search by County'!$B$5,'Counties Served (2)'!$A$1:$JB$59,124,FALSE)=0,"↓",VLOOKUP('Search by County'!$B$5,'Counties Served (2)'!$A$1:$JB$59,124,FALSE))</f>
        <v>Klein Power Electric</v>
      </c>
    </row>
    <row r="185" spans="2:2" ht="30" customHeight="1" x14ac:dyDescent="0.25">
      <c r="B185" s="50" t="str">
        <f>IF(VLOOKUP('Search by County'!$B$5,'Counties Served (2)'!$A$1:$JB$59,125,FALSE)=0,"↓",VLOOKUP('Search by County'!$B$5,'Counties Served (2)'!$A$1:$JB$59,125,FALSE))</f>
        <v>Kota Construction</v>
      </c>
    </row>
    <row r="186" spans="2:2" ht="30" customHeight="1" x14ac:dyDescent="0.25">
      <c r="B186" s="50" t="str">
        <f>IF(VLOOKUP('Search by County'!$B$5,'Counties Served (2)'!$A$1:$JB$59,126,FALSE)=0,"↓",VLOOKUP('Search by County'!$B$5,'Counties Served (2)'!$A$1:$JB$59,126,FALSE))</f>
        <v>Kuubix Energy, Inc.</v>
      </c>
    </row>
    <row r="187" spans="2:2" ht="30" customHeight="1" x14ac:dyDescent="0.25">
      <c r="B187" s="50" t="str">
        <f>IF(VLOOKUP('Search by County'!$B$5,'Counties Served (2)'!$A$1:$JB$59,127,FALSE)=0,"↓",VLOOKUP('Search by County'!$B$5,'Counties Served (2)'!$A$1:$JB$59,127,FALSE))</f>
        <v>LA Solar Group</v>
      </c>
    </row>
    <row r="188" spans="2:2" ht="30" customHeight="1" x14ac:dyDescent="0.25">
      <c r="B188" s="50" t="str">
        <f>IF(VLOOKUP('Search by County'!$B$5,'Counties Served (2)'!$A$1:$JB$59,128,FALSE)=0,"↓",VLOOKUP('Search by County'!$B$5,'Counties Served (2)'!$A$1:$JB$59,128,FALSE))</f>
        <v>Laibach Solar</v>
      </c>
    </row>
    <row r="189" spans="2:2" ht="30" customHeight="1" x14ac:dyDescent="0.25">
      <c r="B189" s="50" t="str">
        <f>IF(VLOOKUP('Search by County'!$B$5,'Counties Served (2)'!$A$1:$JB$59,129,FALSE)=0,"↓",VLOOKUP('Search by County'!$B$5,'Counties Served (2)'!$A$1:$JB$59,129,FALSE))</f>
        <v>↓</v>
      </c>
    </row>
    <row r="190" spans="2:2" ht="30" customHeight="1" x14ac:dyDescent="0.25">
      <c r="B190" s="50" t="str">
        <f>IF(VLOOKUP('Search by County'!$B$5,'Counties Served (2)'!$A$1:$JB$59,130,FALSE)=0,"↓",VLOOKUP('Search by County'!$B$5,'Counties Served (2)'!$A$1:$JB$59,130,FALSE))</f>
        <v>↓</v>
      </c>
    </row>
    <row r="191" spans="2:2" ht="30" customHeight="1" x14ac:dyDescent="0.25">
      <c r="B191" s="50" t="str">
        <f>IF(VLOOKUP('Search by County'!$B$5,'Counties Served (2)'!$A$1:$JB$59,131,FALSE)=0,"↓",VLOOKUP('Search by County'!$B$5,'Counties Served (2)'!$A$1:$JB$59,131,FALSE))</f>
        <v>LLUMETEC</v>
      </c>
    </row>
    <row r="192" spans="2:2" ht="30" customHeight="1" x14ac:dyDescent="0.25">
      <c r="B192" s="50" t="str">
        <f>IF(VLOOKUP('Search by County'!$B$5,'Counties Served (2)'!$A$1:$JB$59,132,FALSE)=0,"↓",VLOOKUP('Search by County'!$B$5,'Counties Served (2)'!$A$1:$JB$59,132,FALSE))</f>
        <v>↓</v>
      </c>
    </row>
    <row r="193" spans="2:2" ht="30" customHeight="1" x14ac:dyDescent="0.25">
      <c r="B193" s="50" t="str">
        <f>IF(VLOOKUP('Search by County'!$B$5,'Counties Served (2)'!$A$1:$JB$59,133,FALSE)=0,"↓",VLOOKUP('Search by County'!$B$5,'Counties Served (2)'!$A$1:$JB$59,133,FALSE))</f>
        <v>↓</v>
      </c>
    </row>
    <row r="194" spans="2:2" ht="30" customHeight="1" x14ac:dyDescent="0.25">
      <c r="B194" s="50" t="str">
        <f>IF(VLOOKUP('Search by County'!$B$5,'Counties Served (2)'!$A$1:$JB$59,134,FALSE)=0,"↓",VLOOKUP('Search by County'!$B$5,'Counties Served (2)'!$A$1:$JB$59,134,FALSE))</f>
        <v>↓</v>
      </c>
    </row>
    <row r="195" spans="2:2" ht="30" customHeight="1" x14ac:dyDescent="0.25">
      <c r="B195" s="50" t="str">
        <f>IF(VLOOKUP('Search by County'!$B$5,'Counties Served (2)'!$A$1:$JB$59,135,FALSE)=0,"↓",VLOOKUP('Search by County'!$B$5,'Counties Served (2)'!$A$1:$JB$59,135,FALSE))</f>
        <v>Mack Electric/Gardner Energy</v>
      </c>
    </row>
    <row r="196" spans="2:2" ht="30" customHeight="1" x14ac:dyDescent="0.25">
      <c r="B196" s="50" t="str">
        <f>IF(VLOOKUP('Search by County'!$B$5,'Counties Served (2)'!$A$1:$JB$59,136,FALSE)=0,"↓",VLOOKUP('Search by County'!$B$5,'Counties Served (2)'!$A$1:$JB$59,136,FALSE))</f>
        <v>↓</v>
      </c>
    </row>
    <row r="197" spans="2:2" ht="30" customHeight="1" x14ac:dyDescent="0.25">
      <c r="B197" s="50" t="str">
        <f>IF(VLOOKUP('Search by County'!$B$5,'Counties Served (2)'!$A$1:$JB$59,137,FALSE)=0,"↓",VLOOKUP('Search by County'!$B$5,'Counties Served (2)'!$A$1:$JB$59,137,FALSE))</f>
        <v>↓</v>
      </c>
    </row>
    <row r="198" spans="2:2" ht="30" customHeight="1" x14ac:dyDescent="0.25">
      <c r="B198" s="50" t="str">
        <f>IF(VLOOKUP('Search by County'!$B$5,'Counties Served (2)'!$A$1:$JB$59,138,FALSE)=0,"↓",VLOOKUP('Search by County'!$B$5,'Counties Served (2)'!$A$1:$JB$59,138,FALSE))</f>
        <v>↓</v>
      </c>
    </row>
    <row r="199" spans="2:2" ht="30" customHeight="1" x14ac:dyDescent="0.25">
      <c r="B199" s="50" t="str">
        <f>IF(VLOOKUP('Search by County'!$B$5,'Counties Served (2)'!$A$1:$JB$59,139,FALSE)=0,"↓",VLOOKUP('Search by County'!$B$5,'Counties Served (2)'!$A$1:$JB$59,139,FALSE))</f>
        <v>↓</v>
      </c>
    </row>
    <row r="200" spans="2:2" ht="30" customHeight="1" x14ac:dyDescent="0.25">
      <c r="B200" s="50" t="str">
        <f>IF(VLOOKUP('Search by County'!$B$5,'Counties Served (2)'!$A$1:$JB$59,140,FALSE)=0,"↓",VLOOKUP('Search by County'!$B$5,'Counties Served (2)'!$A$1:$JB$59,140,FALSE))</f>
        <v>Modernize Construction</v>
      </c>
    </row>
    <row r="201" spans="2:2" ht="30" customHeight="1" x14ac:dyDescent="0.25">
      <c r="B201" s="50" t="str">
        <f>IF(VLOOKUP('Search by County'!$B$5,'Counties Served (2)'!$A$1:$JB$59,141,FALSE)=0,"↓",VLOOKUP('Search by County'!$B$5,'Counties Served (2)'!$A$1:$JB$59,141,FALSE))</f>
        <v>↓</v>
      </c>
    </row>
    <row r="202" spans="2:2" ht="30" customHeight="1" x14ac:dyDescent="0.25">
      <c r="B202" s="50" t="str">
        <f>IF(VLOOKUP('Search by County'!$B$5,'Counties Served (2)'!$A$1:$JB$59,142,FALSE)=0,"↓",VLOOKUP('Search by County'!$B$5,'Counties Served (2)'!$A$1:$JB$59,142,FALSE))</f>
        <v>↓</v>
      </c>
    </row>
    <row r="203" spans="2:2" ht="30" customHeight="1" x14ac:dyDescent="0.25">
      <c r="B203" s="50" t="str">
        <f>IF(VLOOKUP('Search by County'!$B$5,'Counties Served (2)'!$A$1:$JB$59,143,FALSE)=0,"↓",VLOOKUP('Search by County'!$B$5,'Counties Served (2)'!$A$1:$JB$59,143,FALSE))</f>
        <v>↓</v>
      </c>
    </row>
    <row r="204" spans="2:2" ht="30" customHeight="1" x14ac:dyDescent="0.25">
      <c r="B204" s="50" t="str">
        <f>IF(VLOOKUP('Search by County'!$B$5,'Counties Served (2)'!$A$1:$JB$59,144,FALSE)=0,"↓",VLOOKUP('Search by County'!$B$5,'Counties Served (2)'!$A$1:$JB$59,144,FALSE))</f>
        <v>↓</v>
      </c>
    </row>
    <row r="205" spans="2:2" ht="30" customHeight="1" x14ac:dyDescent="0.25">
      <c r="B205" s="50" t="str">
        <f>IF(VLOOKUP('Search by County'!$B$5,'Counties Served (2)'!$A$1:$JB$59,145,FALSE)=0,"↓",VLOOKUP('Search by County'!$B$5,'Counties Served (2)'!$A$1:$JB$59,145,FALSE))</f>
        <v>↓</v>
      </c>
    </row>
    <row r="206" spans="2:2" ht="30" customHeight="1" x14ac:dyDescent="0.25">
      <c r="B206" s="50" t="str">
        <f>IF(VLOOKUP('Search by County'!$B$5,'Counties Served (2)'!$A$1:$JB$59,146,FALSE)=0,"↓",VLOOKUP('Search by County'!$B$5,'Counties Served (2)'!$A$1:$JB$59,146,FALSE))</f>
        <v>↓</v>
      </c>
    </row>
    <row r="207" spans="2:2" ht="30" customHeight="1" x14ac:dyDescent="0.25">
      <c r="B207" s="50" t="str">
        <f>IF(VLOOKUP('Search by County'!$B$5,'Counties Served (2)'!$A$1:$JB$59,147,FALSE)=0,"↓",VLOOKUP('Search by County'!$B$5,'Counties Served (2)'!$A$1:$JB$59,147,FALSE))</f>
        <v>North State Solar Energy Construction</v>
      </c>
    </row>
    <row r="208" spans="2:2" ht="30" customHeight="1" x14ac:dyDescent="0.25">
      <c r="B208" s="50" t="str">
        <f>IF(VLOOKUP('Search by County'!$B$5,'Counties Served (2)'!$A$1:$JB$59,148,FALSE)=0,"↓",VLOOKUP('Search by County'!$B$5,'Counties Served (2)'!$A$1:$JB$59,148,FALSE))</f>
        <v>↓</v>
      </c>
    </row>
    <row r="209" spans="2:2" ht="30" customHeight="1" x14ac:dyDescent="0.25">
      <c r="B209" s="50" t="str">
        <f>IF(VLOOKUP('Search by County'!$B$5,'Counties Served (2)'!$A$1:$JB$59,149,FALSE)=0,"↓",VLOOKUP('Search by County'!$B$5,'Counties Served (2)'!$A$1:$JB$59,149,FALSE))</f>
        <v>NRG Clean Power</v>
      </c>
    </row>
    <row r="210" spans="2:2" ht="30" customHeight="1" x14ac:dyDescent="0.25">
      <c r="B210" s="50" t="str">
        <f>IF(VLOOKUP('Search by County'!$B$5,'Counties Served (2)'!$A$1:$JB$59,150,FALSE)=0,"↓",VLOOKUP('Search by County'!$B$5,'Counties Served (2)'!$A$1:$JB$59,150,FALSE))</f>
        <v>↓</v>
      </c>
    </row>
    <row r="211" spans="2:2" ht="30" customHeight="1" x14ac:dyDescent="0.25">
      <c r="B211" s="50" t="str">
        <f>IF(VLOOKUP('Search by County'!$B$5,'Counties Served (2)'!$A$1:$JB$59,151,FALSE)=0,"↓",VLOOKUP('Search by County'!$B$5,'Counties Served (2)'!$A$1:$JB$59,151,FALSE))</f>
        <v>↓</v>
      </c>
    </row>
    <row r="212" spans="2:2" ht="30" customHeight="1" x14ac:dyDescent="0.25">
      <c r="B212" s="50" t="str">
        <f>IF(VLOOKUP('Search by County'!$B$5,'Counties Served (2)'!$A$1:$JB$59,152,FALSE)=0,"↓",VLOOKUP('Search by County'!$B$5,'Counties Served (2)'!$A$1:$JB$59,152,FALSE))</f>
        <v>↓</v>
      </c>
    </row>
    <row r="213" spans="2:2" ht="30" customHeight="1" x14ac:dyDescent="0.25">
      <c r="B213" s="50" t="str">
        <f>IF(VLOOKUP('Search by County'!$B$5,'Counties Served (2)'!$A$1:$JB$59,153,FALSE)=0,"↓",VLOOKUP('Search by County'!$B$5,'Counties Served (2)'!$A$1:$JB$59,153,FALSE))</f>
        <v>Pacific Rim ConstructioRAM SOLAR</v>
      </c>
    </row>
    <row r="214" spans="2:2" ht="30" customHeight="1" x14ac:dyDescent="0.25">
      <c r="B214" s="50" t="str">
        <f>IF(VLOOKUP('Search by County'!$B$5,'Counties Served (2)'!$A$1:$JB$59,154,FALSE)=0,"↓",VLOOKUP('Search by County'!$B$5,'Counties Served (2)'!$A$1:$JB$59,154,FALSE))</f>
        <v>↓</v>
      </c>
    </row>
    <row r="215" spans="2:2" ht="30" customHeight="1" x14ac:dyDescent="0.25">
      <c r="B215" s="50" t="str">
        <f>IF(VLOOKUP('Search by County'!$B$5,'Counties Served (2)'!$A$1:$JB$59,155,FALSE)=0,"↓",VLOOKUP('Search by County'!$B$5,'Counties Served (2)'!$A$1:$JB$59,155,FALSE))</f>
        <v>↓</v>
      </c>
    </row>
    <row r="216" spans="2:2" ht="30" customHeight="1" x14ac:dyDescent="0.25">
      <c r="B216" s="50" t="str">
        <f>IF(VLOOKUP('Search by County'!$B$5,'Counties Served (2)'!$A$1:$JB$59,156,FALSE)=0,"↓",VLOOKUP('Search by County'!$B$5,'Counties Served (2)'!$A$1:$JB$59,156,FALSE))</f>
        <v>↓</v>
      </c>
    </row>
    <row r="217" spans="2:2" ht="30" customHeight="1" x14ac:dyDescent="0.25">
      <c r="B217" s="50" t="str">
        <f>IF(VLOOKUP('Search by County'!$B$5,'Counties Served (2)'!$A$1:$JB$59,157,FALSE)=0,"↓",VLOOKUP('Search by County'!$B$5,'Counties Served (2)'!$A$1:$JB$59,157,FALSE))</f>
        <v>↓</v>
      </c>
    </row>
    <row r="218" spans="2:2" ht="30" customHeight="1" x14ac:dyDescent="0.25">
      <c r="B218" s="50" t="str">
        <f>IF(VLOOKUP('Search by County'!$B$5,'Counties Served (2)'!$A$1:$JB$59,158,FALSE)=0,"↓",VLOOKUP('Search by County'!$B$5,'Counties Served (2)'!$A$1:$JB$59,158,FALSE))</f>
        <v>↓</v>
      </c>
    </row>
    <row r="219" spans="2:2" ht="30" customHeight="1" x14ac:dyDescent="0.25">
      <c r="B219" s="50" t="str">
        <f>IF(VLOOKUP('Search by County'!$B$5,'Counties Served (2)'!$A$1:$JB$59,159,FALSE)=0,"↓",VLOOKUP('Search by County'!$B$5,'Counties Served (2)'!$A$1:$JB$59,159,FALSE))</f>
        <v>↓</v>
      </c>
    </row>
    <row r="220" spans="2:2" ht="30" customHeight="1" x14ac:dyDescent="0.25">
      <c r="B220" s="50" t="str">
        <f>IF(VLOOKUP('Search by County'!$B$5,'Counties Served (2)'!$A$1:$JB$59,160,FALSE)=0,"↓",VLOOKUP('Search by County'!$B$5,'Counties Served (2)'!$A$1:$JB$59,160,FALSE))</f>
        <v>Promise Energy Inc</v>
      </c>
    </row>
    <row r="221" spans="2:2" ht="30" customHeight="1" x14ac:dyDescent="0.25">
      <c r="B221" s="50" t="str">
        <f>IF(VLOOKUP('Search by County'!$B$5,'Counties Served (2)'!$A$1:$JB$59,161,FALSE)=0,"↓",VLOOKUP('Search by County'!$B$5,'Counties Served (2)'!$A$1:$JB$59,161,FALSE))</f>
        <v>↓</v>
      </c>
    </row>
    <row r="222" spans="2:2" ht="30" customHeight="1" x14ac:dyDescent="0.25">
      <c r="B222" s="50" t="str">
        <f>IF(VLOOKUP('Search by County'!$B$5,'Counties Served (2)'!$A$1:$JB$59,162,FALSE)=0,"↓",VLOOKUP('Search by County'!$B$5,'Counties Served (2)'!$A$1:$JB$59,162,FALSE))</f>
        <v>↓</v>
      </c>
    </row>
    <row r="223" spans="2:2" ht="30" customHeight="1" x14ac:dyDescent="0.25">
      <c r="B223" s="50" t="str">
        <f>IF(VLOOKUP('Search by County'!$B$5,'Counties Served (2)'!$A$1:$JB$59,163,FALSE)=0,"↓",VLOOKUP('Search by County'!$B$5,'Counties Served (2)'!$A$1:$JB$59,163,FALSE))</f>
        <v>↓</v>
      </c>
    </row>
    <row r="224" spans="2:2" ht="30" customHeight="1" x14ac:dyDescent="0.25">
      <c r="B224" s="50" t="str">
        <f>IF(VLOOKUP('Search by County'!$B$5,'Counties Served (2)'!$A$1:$JB$59,164,FALSE)=0,"↓",VLOOKUP('Search by County'!$B$5,'Counties Served (2)'!$A$1:$JB$59,164,FALSE))</f>
        <v>↓</v>
      </c>
    </row>
    <row r="225" spans="2:2" ht="30" customHeight="1" x14ac:dyDescent="0.25">
      <c r="B225" s="50" t="str">
        <f>IF(VLOOKUP('Search by County'!$B$5,'Counties Served (2)'!$A$1:$JB$59,165,FALSE)=0,"↓",VLOOKUP('Search by County'!$B$5,'Counties Served (2)'!$A$1:$JB$59,165,FALSE))</f>
        <v>REC Solar</v>
      </c>
    </row>
    <row r="226" spans="2:2" ht="30" customHeight="1" x14ac:dyDescent="0.25">
      <c r="B226" s="50" t="str">
        <f>IF(VLOOKUP('Search by County'!$B$5,'Counties Served (2)'!$A$1:$JB$59,166,FALSE)=0,"↓",VLOOKUP('Search by County'!$B$5,'Counties Served (2)'!$A$1:$JB$59,166,FALSE))</f>
        <v>↓</v>
      </c>
    </row>
    <row r="227" spans="2:2" ht="30" customHeight="1" x14ac:dyDescent="0.25">
      <c r="B227" s="50" t="str">
        <f>IF(VLOOKUP('Search by County'!$B$5,'Counties Served (2)'!$A$1:$JB$59,167,FALSE)=0,"↓",VLOOKUP('Search by County'!$B$5,'Counties Served (2)'!$A$1:$JB$59,167,FALSE))</f>
        <v>↓</v>
      </c>
    </row>
    <row r="228" spans="2:2" ht="30" customHeight="1" x14ac:dyDescent="0.25">
      <c r="B228" s="50" t="str">
        <f>IF(VLOOKUP('Search by County'!$B$5,'Counties Served (2)'!$A$1:$JB$59,168,FALSE)=0,"↓",VLOOKUP('Search by County'!$B$5,'Counties Served (2)'!$A$1:$JB$59,168,FALSE))</f>
        <v>↓</v>
      </c>
    </row>
    <row r="229" spans="2:2" ht="30" customHeight="1" x14ac:dyDescent="0.25">
      <c r="B229" s="50" t="str">
        <f>IF(VLOOKUP('Search by County'!$B$5,'Counties Served (2)'!$A$1:$JB$59,169,FALSE)=0,"↓",VLOOKUP('Search by County'!$B$5,'Counties Served (2)'!$A$1:$JB$59,169,FALSE))</f>
        <v>↓</v>
      </c>
    </row>
    <row r="230" spans="2:2" ht="30" customHeight="1" x14ac:dyDescent="0.25">
      <c r="B230" s="50" t="str">
        <f>IF(VLOOKUP('Search by County'!$B$5,'Counties Served (2)'!$A$1:$JB$59,170,FALSE)=0,"↓",VLOOKUP('Search by County'!$B$5,'Counties Served (2)'!$A$1:$JB$59,170,FALSE))</f>
        <v>Sage Energy Consulting</v>
      </c>
    </row>
    <row r="231" spans="2:2" ht="30" customHeight="1" x14ac:dyDescent="0.25">
      <c r="B231" s="50" t="str">
        <f>IF(VLOOKUP('Search by County'!$B$5,'Counties Served (2)'!$A$1:$JB$59,171,FALSE)=0,"↓",VLOOKUP('Search by County'!$B$5,'Counties Served (2)'!$A$1:$JB$59,171,FALSE))</f>
        <v>↓</v>
      </c>
    </row>
    <row r="232" spans="2:2" ht="30" customHeight="1" x14ac:dyDescent="0.25">
      <c r="B232" s="50" t="str">
        <f>IF(VLOOKUP('Search by County'!$B$5,'Counties Served (2)'!$A$1:$JB$59,172,FALSE)=0,"↓",VLOOKUP('Search by County'!$B$5,'Counties Served (2)'!$A$1:$JB$59,172,FALSE))</f>
        <v>↓</v>
      </c>
    </row>
    <row r="233" spans="2:2" ht="30" customHeight="1" x14ac:dyDescent="0.25">
      <c r="B233" s="50" t="str">
        <f>IF(VLOOKUP('Search by County'!$B$5,'Counties Served (2)'!$A$1:$JB$59,173,FALSE)=0,"↓",VLOOKUP('Search by County'!$B$5,'Counties Served (2)'!$A$1:$JB$59,173,FALSE))</f>
        <v>↓</v>
      </c>
    </row>
    <row r="234" spans="2:2" ht="30" customHeight="1" x14ac:dyDescent="0.25">
      <c r="B234" s="50" t="str">
        <f>IF(VLOOKUP('Search by County'!$B$5,'Counties Served (2)'!$A$1:$JB$59,174,FALSE)=0,"↓",VLOOKUP('Search by County'!$B$5,'Counties Served (2)'!$A$1:$JB$59,174,FALSE))</f>
        <v>↓</v>
      </c>
    </row>
    <row r="235" spans="2:2" ht="30" customHeight="1" x14ac:dyDescent="0.25">
      <c r="B235" s="50" t="str">
        <f>IF(VLOOKUP('Search by County'!$B$5,'Counties Served (2)'!$A$1:$JB$59,175,FALSE)=0,"↓",VLOOKUP('Search by County'!$B$5,'Counties Served (2)'!$A$1:$JB$59,175,FALSE))</f>
        <v>↓</v>
      </c>
    </row>
    <row r="236" spans="2:2" ht="30" customHeight="1" x14ac:dyDescent="0.25">
      <c r="B236" s="50" t="str">
        <f>IF(VLOOKUP('Search by County'!$B$5,'Counties Served (2)'!$A$1:$JB$59,176,FALSE)=0,"↓",VLOOKUP('Search by County'!$B$5,'Counties Served (2)'!$A$1:$JB$59,176,FALSE))</f>
        <v>↓</v>
      </c>
    </row>
    <row r="237" spans="2:2" ht="30" customHeight="1" x14ac:dyDescent="0.25">
      <c r="B237" s="50" t="str">
        <f>IF(VLOOKUP('Search by County'!$B$5,'Counties Served (2)'!$A$1:$JB$59,177,FALSE)=0,"↓",VLOOKUP('Search by County'!$B$5,'Counties Served (2)'!$A$1:$JB$59,177,FALSE))</f>
        <v>↓</v>
      </c>
    </row>
    <row r="238" spans="2:2" ht="30" customHeight="1" x14ac:dyDescent="0.25">
      <c r="B238" s="50" t="str">
        <f>IF(VLOOKUP('Search by County'!$B$5,'Counties Served (2)'!$A$1:$JB$59,178,FALSE)=0,"↓",VLOOKUP('Search by County'!$B$5,'Counties Served (2)'!$A$1:$JB$59,178,FALSE))</f>
        <v>Sierra Energy Savers</v>
      </c>
    </row>
    <row r="239" spans="2:2" ht="30" customHeight="1" x14ac:dyDescent="0.25">
      <c r="B239" s="50" t="str">
        <f>IF(VLOOKUP('Search by County'!$B$5,'Counties Served (2)'!$A$1:$JB$59,179,FALSE)=0,"↓",VLOOKUP('Search by County'!$B$5,'Counties Served (2)'!$A$1:$JB$59,179,FALSE))</f>
        <v>Sierra Pacific</v>
      </c>
    </row>
    <row r="240" spans="2:2" ht="30" customHeight="1" x14ac:dyDescent="0.25">
      <c r="B240" s="50" t="str">
        <f>IF(VLOOKUP('Search by County'!$B$5,'Counties Served (2)'!$A$1:$JB$59,180,FALSE)=0,"↓",VLOOKUP('Search by County'!$B$5,'Counties Served (2)'!$A$1:$JB$59,180,FALSE))</f>
        <v>SIG Solar</v>
      </c>
    </row>
    <row r="241" spans="2:2" ht="30" customHeight="1" x14ac:dyDescent="0.25">
      <c r="B241" s="50" t="str">
        <f>IF(VLOOKUP('Search by County'!$B$5,'Counties Served (2)'!$A$1:$JB$59,181,FALSE)=0,"↓",VLOOKUP('Search by County'!$B$5,'Counties Served (2)'!$A$1:$JB$59,181,FALSE))</f>
        <v>↓</v>
      </c>
    </row>
    <row r="242" spans="2:2" ht="30" customHeight="1" x14ac:dyDescent="0.25">
      <c r="B242" s="50" t="str">
        <f>IF(VLOOKUP('Search by County'!$B$5,'Counties Served (2)'!$A$1:$JB$59,182,FALSE)=0,"↓",VLOOKUP('Search by County'!$B$5,'Counties Served (2)'!$A$1:$JB$59,182,FALSE))</f>
        <v>↓</v>
      </c>
    </row>
    <row r="243" spans="2:2" ht="30" customHeight="1" x14ac:dyDescent="0.25">
      <c r="B243" s="50" t="str">
        <f>IF(VLOOKUP('Search by County'!$B$5,'Counties Served (2)'!$A$1:$JB$59,183,FALSE)=0,"↓",VLOOKUP('Search by County'!$B$5,'Counties Served (2)'!$A$1:$JB$59,183,FALSE))</f>
        <v>↓</v>
      </c>
    </row>
    <row r="244" spans="2:2" ht="30" customHeight="1" x14ac:dyDescent="0.25">
      <c r="B244" s="50" t="str">
        <f>IF(VLOOKUP('Search by County'!$B$5,'Counties Served (2)'!$A$1:$JB$59,184,FALSE)=0,"↓",VLOOKUP('Search by County'!$B$5,'Counties Served (2)'!$A$1:$JB$59,184,FALSE))</f>
        <v>↓</v>
      </c>
    </row>
    <row r="245" spans="2:2" ht="30" customHeight="1" x14ac:dyDescent="0.25">
      <c r="B245" s="50" t="str">
        <f>IF(VLOOKUP('Search by County'!$B$5,'Counties Served (2)'!$A$1:$JB$59,185,FALSE)=0,"↓",VLOOKUP('Search by County'!$B$5,'Counties Served (2)'!$A$1:$JB$59,185,FALSE))</f>
        <v>↓</v>
      </c>
    </row>
    <row r="246" spans="2:2" ht="30" customHeight="1" x14ac:dyDescent="0.25">
      <c r="B246" s="50" t="str">
        <f>IF(VLOOKUP('Search by County'!$B$5,'Counties Served (2)'!$A$1:$JB$59,186,FALSE)=0,"↓",VLOOKUP('Search by County'!$B$5,'Counties Served (2)'!$A$1:$JB$59186,FALSE))</f>
        <v>↓</v>
      </c>
    </row>
    <row r="247" spans="2:2" ht="30" customHeight="1" x14ac:dyDescent="0.25">
      <c r="B247" s="50" t="str">
        <f>IF(VLOOKUP('Search by County'!$B$5,'Counties Served (2)'!$A$1:$JB$59,187,FALSE)=0,"↓",VLOOKUP('Search by County'!$B$5,'Counties Served (2)'!$A$1:$JB$59,187,FALSE))</f>
        <v>↓</v>
      </c>
    </row>
    <row r="248" spans="2:2" ht="30" customHeight="1" x14ac:dyDescent="0.25">
      <c r="B248" s="50" t="str">
        <f>IF(VLOOKUP('Search by County'!$B$5,'Counties Served (2)'!$A$1:$JB$59,188,FALSE)=0,"↓",VLOOKUP('Search by County'!$B$5,'Counties Served (2)'!$A$1:$JB$59,188,FALSE))</f>
        <v>↓</v>
      </c>
    </row>
    <row r="249" spans="2:2" ht="30" customHeight="1" x14ac:dyDescent="0.25">
      <c r="B249" s="50" t="str">
        <f>IF(VLOOKUP('Search by County'!$B$5,'Counties Served (2)'!$A$1:$JB$59,189,FALSE)=0,"↓",VLOOKUP('Search by County'!$B$5,'Counties Served (2)'!$A$1:$JB$59,189,FALSE))</f>
        <v>↓</v>
      </c>
    </row>
    <row r="250" spans="2:2" ht="30" customHeight="1" x14ac:dyDescent="0.25">
      <c r="B250" s="50" t="str">
        <f>IF(VLOOKUP('Search by County'!$B$5,'Counties Served (2)'!$A$1:$JB$59,190,FALSE)=0,"↓",VLOOKUP('Search by County'!$B$5,'Counties Served (2)'!$A$1:$JB$59,190,FALSE))</f>
        <v>↓</v>
      </c>
    </row>
    <row r="251" spans="2:2" ht="30" customHeight="1" x14ac:dyDescent="0.25">
      <c r="B251" s="50" t="str">
        <f>IF(VLOOKUP('Search by County'!$B$5,'Counties Served (2)'!$A$1:$JB$59,191,FALSE)=0,"↓",VLOOKUP('Search by County'!$B$5,'Counties Served (2)'!$A$1:$JB$59,191,FALSE))</f>
        <v>Solar Gain West LLC</v>
      </c>
    </row>
    <row r="252" spans="2:2" ht="30" customHeight="1" x14ac:dyDescent="0.25">
      <c r="B252" s="50" t="str">
        <f>IF(VLOOKUP('Search by County'!$B$5,'Counties Served (2)'!$A$1:$JB$59,192,FALSE)=0,"↓",VLOOKUP('Search by County'!$B$5,'Counties Served (2)'!$A$1:$JB$59,192,FALSE))</f>
        <v>↓</v>
      </c>
    </row>
    <row r="253" spans="2:2" ht="30" customHeight="1" x14ac:dyDescent="0.25">
      <c r="B253" s="50" t="str">
        <f>IF(VLOOKUP('Search by County'!$B$5,'Counties Served (2)'!$A$1:$JB$59,193,FALSE)=0,"↓",VLOOKUP('Search by County'!$B$5,'Counties Served (2)'!$A$1:$JB$59,193,FALSE))</f>
        <v>↓</v>
      </c>
    </row>
    <row r="254" spans="2:2" ht="30" customHeight="1" x14ac:dyDescent="0.25">
      <c r="B254" s="50" t="str">
        <f>IF(VLOOKUP('Search by County'!$B$5,'Counties Served (2)'!$A$1:$JB$59,194,FALSE)=0,"↓",VLOOKUP('Search by County'!$B$5,'Counties Served (2)'!$A$1:$JB$59,194,FALSE))</f>
        <v>↓</v>
      </c>
    </row>
    <row r="255" spans="2:2" ht="30" customHeight="1" x14ac:dyDescent="0.25">
      <c r="B255" s="50" t="str">
        <f>IF(VLOOKUP('Search by County'!$B$5,'Counties Served (2)'!$A$1:$JB$59,195,FALSE)=0,"↓",VLOOKUP('Search by County'!$B$5,'Counties Served (2)'!$A$1:$JB$59,195,FALSE))</f>
        <v>Solar Pros Inc.</v>
      </c>
    </row>
    <row r="256" spans="2:2" ht="30" customHeight="1" x14ac:dyDescent="0.25">
      <c r="B256" s="50" t="str">
        <f>IF(VLOOKUP('Search by County'!$B$5,'Counties Served (2)'!$A$1:$JB$59,196,FALSE)=0,"↓",VLOOKUP('Search by County'!$B$5,'Counties Served (2)'!$A$1:$JB$59,196,FALSE))</f>
        <v>↓</v>
      </c>
    </row>
    <row r="257" spans="2:2" ht="30" customHeight="1" x14ac:dyDescent="0.25">
      <c r="B257" s="50" t="str">
        <f>IF(VLOOKUP('Search by County'!$B$5,'Counties Served (2)'!$A$1:$JB$59,197,FALSE)=0,"↓",VLOOKUP('Search by County'!$B$5,'Counties Served (2)'!$A$1:$JB$59,197,FALSE))</f>
        <v>Solar Savings Direct</v>
      </c>
    </row>
    <row r="258" spans="2:2" ht="30" customHeight="1" x14ac:dyDescent="0.25">
      <c r="B258" s="50" t="str">
        <f>IF(VLOOKUP('Search by County'!$B$5,'Counties Served (2)'!$A$1:$JB$59,198,FALSE)=0,"↓",VLOOKUP('Search by County'!$B$5,'Counties Served (2)'!$A$1:$JB$59,198,FALSE))</f>
        <v>↓</v>
      </c>
    </row>
    <row r="259" spans="2:2" ht="30" customHeight="1" x14ac:dyDescent="0.25">
      <c r="B259" s="50" t="str">
        <f>IF(VLOOKUP('Search by County'!$B$5,'Counties Served (2)'!$A$1:$JB$59,199,FALSE)=0,"↓",VLOOKUP('Search by County'!$B$5,'Counties Served (2)'!$A$1:$JB$59,199,FALSE))</f>
        <v>↓</v>
      </c>
    </row>
    <row r="260" spans="2:2" ht="30" customHeight="1" x14ac:dyDescent="0.25">
      <c r="B260" s="50" t="str">
        <f>IF(VLOOKUP('Search by County'!$B$5,'Counties Served (2)'!$A$1:$JB$59,200,FALSE)=0,"↓",VLOOKUP('Search by County'!$B$5,'Counties Served (2)'!$A$1:$JB$59,200,FALSE))</f>
        <v>↓</v>
      </c>
    </row>
    <row r="261" spans="2:2" ht="30" customHeight="1" x14ac:dyDescent="0.25">
      <c r="B261" s="50" t="str">
        <f>IF(VLOOKUP('Search by County'!$B$5,'Counties Served (2)'!$A$1:$JB$59,201,FALSE)=0,"↓",VLOOKUP('Search by County'!$B$5,'Counties Served (2)'!$A$1:$JB$59,201,FALSE))</f>
        <v>↓</v>
      </c>
    </row>
    <row r="262" spans="2:2" ht="30" customHeight="1" x14ac:dyDescent="0.25">
      <c r="B262" s="50" t="str">
        <f>IF(VLOOKUP('Search by County'!$B$5,'Counties Served (2)'!$A$1:$JB$59,202,FALSE)=0,"↓",VLOOKUP('Search by County'!$B$5,'Counties Served (2)'!$A$1:$JB$59,202,FALSE))</f>
        <v>↓</v>
      </c>
    </row>
    <row r="263" spans="2:2" ht="30" customHeight="1" x14ac:dyDescent="0.25">
      <c r="B263" s="50" t="str">
        <f>IF(VLOOKUP('Search by County'!$B$5,'Counties Served (2)'!$A$1:$JB$59,203,FALSE)=0,"↓",VLOOKUP('Search by County'!$B$5,'Counties Served (2)'!$A$1:$JB$59,203,FALSE))</f>
        <v>SolarNorcal, LLC</v>
      </c>
    </row>
    <row r="264" spans="2:2" ht="30" customHeight="1" x14ac:dyDescent="0.25">
      <c r="B264" s="50" t="str">
        <f>IF(VLOOKUP('Search by County'!$B$5,'Counties Served (2)'!$A$1:$JB$59,204,FALSE)=0,"↓",VLOOKUP('Search by County'!$B$5,'Counties Served (2)'!$A$1:$JB$59,204,FALSE))</f>
        <v>↓</v>
      </c>
    </row>
    <row r="265" spans="2:2" ht="30" customHeight="1" x14ac:dyDescent="0.25">
      <c r="B265" s="50" t="str">
        <f>IF(VLOOKUP('Search by County'!$B$5,'Counties Served (2)'!$A$1:$JB$59,205,FALSE)=0,"↓",VLOOKUP('Search by County'!$B$5,'Counties Served (2)'!$A$1:$JB$59,205,FALSE))</f>
        <v>↓</v>
      </c>
    </row>
    <row r="266" spans="2:2" ht="30" customHeight="1" x14ac:dyDescent="0.25">
      <c r="B266" s="50" t="str">
        <f>IF(VLOOKUP('Search by County'!$B$5,'Counties Served (2)'!$A$1:$JB$59,206,FALSE)=0,"↓",VLOOKUP('Search by County'!$B$5,'Counties Served (2)'!$A$1:$JB$59,206,FALSE))</f>
        <v>↓</v>
      </c>
    </row>
    <row r="267" spans="2:2" ht="30" customHeight="1" x14ac:dyDescent="0.25">
      <c r="B267" s="50" t="str">
        <f>IF(VLOOKUP('Search by County'!$B$5,'Counties Served (2)'!$A$1:$JB$59,207,FALSE)=0,"↓",VLOOKUP('Search by County'!$B$5,'Counties Served (2)'!$A$1:$JB$59,207,FALSE))</f>
        <v>↓</v>
      </c>
    </row>
    <row r="268" spans="2:2" ht="30" customHeight="1" x14ac:dyDescent="0.25">
      <c r="B268" s="50" t="str">
        <f>IF(VLOOKUP('Search by County'!$B$5,'Counties Served (2)'!$A$1:$JB$59,208,FALSE)=0,"↓",VLOOKUP('Search by County'!$B$5,'Counties Served (2)'!$A$1:$JB$59,208,FALSE))</f>
        <v>Spreck Energy</v>
      </c>
    </row>
    <row r="269" spans="2:2" ht="30" customHeight="1" x14ac:dyDescent="0.25">
      <c r="B269" s="50" t="str">
        <f>IF(VLOOKUP('Search by County'!$B$5,'Counties Served (2)'!$A$1:$JB$59,209,FALSE)=0,"↓",VLOOKUP('Search by County'!$B$5,'Counties Served (2)'!$A$1:$JB$59,209,FALSE))</f>
        <v>↓</v>
      </c>
    </row>
    <row r="270" spans="2:2" ht="30" customHeight="1" x14ac:dyDescent="0.25">
      <c r="B270" s="50" t="str">
        <f>IF(VLOOKUP('Search by County'!$B$5,'Counties Served (2)'!$A$1:$JB$59,210,FALSE)=0,"↓",VLOOKUP('Search by County'!$B$5,'Counties Served (2)'!$A$1:$JB$59,210,FALSE))</f>
        <v>↓</v>
      </c>
    </row>
    <row r="271" spans="2:2" ht="30" customHeight="1" x14ac:dyDescent="0.25">
      <c r="B271" s="50" t="str">
        <f>IF(VLOOKUP('Search by County'!$B$5,'Counties Served (2)'!$A$1:$JB$59,211,FALSE)=0,"↓",VLOOKUP('Search by County'!$B$5,'Counties Served (2)'!$A$1:$JB$59,211,FALSE))</f>
        <v>↓</v>
      </c>
    </row>
    <row r="272" spans="2:2" ht="30" customHeight="1" x14ac:dyDescent="0.25">
      <c r="B272" s="50" t="str">
        <f>IF(VLOOKUP('Search by County'!$B$5,'Counties Served (2)'!$A$1:$JB$59,212,FALSE)=0,"↓",VLOOKUP('Search by County'!$B$5,'Counties Served (2)'!$A$1:$JB$59,212,FALSE))</f>
        <v>Stem, Inc.</v>
      </c>
    </row>
    <row r="273" spans="2:2" ht="30" customHeight="1" x14ac:dyDescent="0.25">
      <c r="B273" s="50" t="str">
        <f>IF(VLOOKUP('Search by County'!$B$5,'Counties Served (2)'!$A$1:$JB$59,213,FALSE)=0,"↓",VLOOKUP('Search by County'!$B$5,'Counties Served (2)'!$A$1:$JB$59,213,FALSE))</f>
        <v>Stronghold Engineering</v>
      </c>
    </row>
    <row r="274" spans="2:2" ht="30" customHeight="1" x14ac:dyDescent="0.25">
      <c r="B274" s="50" t="str">
        <f>IF(VLOOKUP('Search by County'!$B$5,'Counties Served (2)'!$A$1:$JB$59,214,FALSE)=0,"↓",VLOOKUP('Search by County'!$B$5,'Counties Served (2)'!$A$1:$JB$59,214,FALSE))</f>
        <v>↓</v>
      </c>
    </row>
    <row r="275" spans="2:2" ht="30" customHeight="1" x14ac:dyDescent="0.25">
      <c r="B275" s="50" t="str">
        <f>IF(VLOOKUP('Search by County'!$B$5,'Counties Served (2)'!$A$1:$JB$59,215,FALSE)=0,"↓",VLOOKUP('Search by County'!$B$5,'Counties Served (2)'!$A$1:$JB$59,215,FALSE))</f>
        <v>↓</v>
      </c>
    </row>
    <row r="276" spans="2:2" ht="30" customHeight="1" x14ac:dyDescent="0.25">
      <c r="B276" s="50" t="str">
        <f>IF(VLOOKUP('Search by County'!$B$5,'Counties Served (2)'!$A$1:$JB$59,216,FALSE)=0,"↓",VLOOKUP('Search by County'!$B$5,'Counties Served (2)'!$A$1:$JB$59,216,FALSE))</f>
        <v>Sun River Solar</v>
      </c>
    </row>
    <row r="277" spans="2:2" ht="30" customHeight="1" x14ac:dyDescent="0.25">
      <c r="B277" s="50" t="str">
        <f>IF(VLOOKUP('Search by County'!$B$5,'Counties Served (2)'!$A$1:$JB$59,217,FALSE)=0,"↓",VLOOKUP('Search by County'!$B$5,'Counties Served (2)'!$A$1:$JB$59,217,FALSE))</f>
        <v>↓</v>
      </c>
    </row>
    <row r="278" spans="2:2" ht="30" customHeight="1" x14ac:dyDescent="0.25">
      <c r="B278" s="50" t="str">
        <f>IF(VLOOKUP('Search by County'!$B$5,'Counties Served (2)'!$A$1:$JB$59,218,FALSE)=0,"↓",VLOOKUP('Search by County'!$B$5,'Counties Served (2)'!$A$1:$JB$59,218,FALSE))</f>
        <v>↓</v>
      </c>
    </row>
    <row r="279" spans="2:2" ht="30" customHeight="1" x14ac:dyDescent="0.25">
      <c r="B279" s="50" t="str">
        <f>IF(VLOOKUP('Search by County'!$B$5,'Counties Served (2)'!$A$1:$JB$59,219,FALSE)=0,"↓",VLOOKUP('Search by County'!$B$5,'Counties Served (2)'!$A$1:$JB$59,219,FALSE))</f>
        <v>↓</v>
      </c>
    </row>
    <row r="280" spans="2:2" ht="30" customHeight="1" x14ac:dyDescent="0.25">
      <c r="B280" s="50" t="str">
        <f>IF(VLOOKUP('Search by County'!$B$5,'Counties Served (2)'!$A$1:$JB$59,220,FALSE)=0,"↓",VLOOKUP('Search by County'!$B$5,'Counties Served (2)'!$A$1:$JB$59,220,FALSE))</f>
        <v>↓</v>
      </c>
    </row>
    <row r="281" spans="2:2" ht="30" customHeight="1" x14ac:dyDescent="0.25">
      <c r="B281" s="50" t="str">
        <f>IF(VLOOKUP('Search by County'!$B$5,'Counties Served (2)'!$A$1:$JB$59,221,FALSE)=0,"↓",VLOOKUP('Search by County'!$B$5,'Counties Served (2)'!$A$1:$JB$59,221,FALSE))</f>
        <v>↓</v>
      </c>
    </row>
    <row r="282" spans="2:2" ht="30" customHeight="1" x14ac:dyDescent="0.25">
      <c r="B282" s="50" t="str">
        <f>IF(VLOOKUP('Search by County'!$B$5,'Counties Served (2)'!$A$1:$JB$59,222,FALSE)=0,"↓",VLOOKUP('Search by County'!$B$5,'Counties Served (2)'!$A$1:$JB$59,222,FALSE))</f>
        <v>↓</v>
      </c>
    </row>
    <row r="283" spans="2:2" ht="30" customHeight="1" x14ac:dyDescent="0.25">
      <c r="B283" s="50" t="str">
        <f>IF(VLOOKUP('Search by County'!$B$5,'Counties Served (2)'!$A$1:$JB$59,223,FALSE)=0,"↓",VLOOKUP('Search by County'!$B$5,'Counties Served (2)'!$A$1:$JB$59,223,FALSE))</f>
        <v>Sunnova Energy</v>
      </c>
    </row>
    <row r="284" spans="2:2" ht="30" customHeight="1" x14ac:dyDescent="0.25">
      <c r="B284" s="50" t="str">
        <f>IF(VLOOKUP('Search by County'!$B$5,'Counties Served (2)'!$A$1:$JB$59,224,FALSE)=0,"↓",VLOOKUP('Search by County'!$B$5,'Counties Served (2)'!$A$1:$JB$59,224,FALSE))</f>
        <v>↓</v>
      </c>
    </row>
    <row r="285" spans="2:2" ht="30" customHeight="1" x14ac:dyDescent="0.25">
      <c r="B285" s="50" t="str">
        <f>IF(VLOOKUP('Search by County'!$B$5,'Counties Served (2)'!$A$1:$JB$59,225,FALSE)=0,"↓",VLOOKUP('Search by County'!$B$5,'Counties Served (2)'!$A$1:$JB$59,225,FALSE))</f>
        <v>SunPower by Hooked On Solar</v>
      </c>
    </row>
    <row r="286" spans="2:2" ht="30" customHeight="1" x14ac:dyDescent="0.25">
      <c r="B286" s="50" t="str">
        <f>IF(VLOOKUP('Search by County'!$B$5,'Counties Served (2)'!$A$1:$JB$59,226,FALSE)=0,"↓",VLOOKUP('Search by County'!$B$5,'Counties Served (2)'!$A$1:$JB$59,226,FALSE))</f>
        <v>↓</v>
      </c>
    </row>
    <row r="287" spans="2:2" ht="30" customHeight="1" x14ac:dyDescent="0.25">
      <c r="B287" s="50" t="str">
        <f>IF(VLOOKUP('Search by County'!$B$5,'Counties Served (2)'!$A$1:$JB$59,227,FALSE)=0,"↓",VLOOKUP('Search by County'!$B$5,'Counties Served (2)'!$A$1:$JB$59,227,FALSE))</f>
        <v>SunPower Corporation</v>
      </c>
    </row>
    <row r="288" spans="2:2" ht="30" customHeight="1" x14ac:dyDescent="0.25">
      <c r="B288" s="50" t="str">
        <f>IF(VLOOKUP('Search by County'!$B$5,'Counties Served (2)'!$A$1:$JB$59,228,FALSE)=0,"↓",VLOOKUP('Search by County'!$B$5,'Counties Served (2)'!$A$1:$JB$59,228,FALSE))</f>
        <v>↓</v>
      </c>
    </row>
    <row r="289" spans="2:2" ht="30" customHeight="1" x14ac:dyDescent="0.25">
      <c r="B289" s="50" t="str">
        <f>IF(VLOOKUP('Search by County'!$B$5,'Counties Served (2)'!$A$1:$JB$59,229,FALSE)=0,"↓",VLOOKUP('Search by County'!$B$5,'Counties Served (2)'!$A$1:$JB$59,229,FALSE))</f>
        <v>SunStor</v>
      </c>
    </row>
    <row r="290" spans="2:2" ht="30" customHeight="1" x14ac:dyDescent="0.25">
      <c r="B290" s="50" t="str">
        <f>IF(VLOOKUP('Search by County'!$B$5,'Counties Served (2)'!$A$1:$JB$59,230,FALSE)=0,"↓",VLOOKUP('Search by County'!$B$5,'Counties Served (2)'!$A$1:$JB$59,230,FALSE))</f>
        <v>↓</v>
      </c>
    </row>
    <row r="291" spans="2:2" ht="30" customHeight="1" x14ac:dyDescent="0.25">
      <c r="B291" s="50" t="str">
        <f>IF(VLOOKUP('Search by County'!$B$5,'Counties Served (2)'!$A$1:$JB$59,231,FALSE)=0,"↓",VLOOKUP('Search by County'!$B$5,'Counties Served (2)'!$A$1:$JB$59,231,FALSE))</f>
        <v>↓</v>
      </c>
    </row>
    <row r="292" spans="2:2" ht="30" customHeight="1" x14ac:dyDescent="0.25">
      <c r="B292" s="50" t="str">
        <f>IF(VLOOKUP('Search by County'!$B$5,'Counties Served (2)'!$A$1:$JB$59,232,FALSE)=0,"↓",VLOOKUP('Search by County'!$B$5,'Counties Served (2)'!$A$1:$JB$59,232,FALSE))</f>
        <v>Sunterra Solar Inc</v>
      </c>
    </row>
    <row r="293" spans="2:2" ht="30" customHeight="1" x14ac:dyDescent="0.25">
      <c r="B293" s="50" t="str">
        <f>IF(VLOOKUP('Search by County'!$B$5,'Counties Served (2)'!$A$1:$JB$59,233,FALSE)=0,"↓",VLOOKUP('Search by County'!$B$5,'Counties Served (2)'!$A$1:$JB$59,233,FALSE))</f>
        <v>Sunworks</v>
      </c>
    </row>
    <row r="294" spans="2:2" ht="30" customHeight="1" x14ac:dyDescent="0.25">
      <c r="B294" s="50" t="str">
        <f>IF(VLOOKUP('Search by County'!$B$5,'Counties Served (2)'!$A$1:$JB$59,234,FALSE)=0,"↓",VLOOKUP('Search by County'!$B$5,'Counties Served (2)'!$A$1:$JB$59,234,FALSE))</f>
        <v>Sustainable Energy Group</v>
      </c>
    </row>
    <row r="295" spans="2:2" ht="30" customHeight="1" x14ac:dyDescent="0.25">
      <c r="B295" s="50" t="str">
        <f>IF(VLOOKUP('Search by County'!$B$5,'Counties Served (2)'!$A$1:$JB$59,235,FALSE)=0,"↓",VLOOKUP('Search by County'!$B$5,'Counties Served (2)'!$A$1:$JB$59,235,FALSE))</f>
        <v>Sustainable Technologies</v>
      </c>
    </row>
    <row r="296" spans="2:2" ht="30" customHeight="1" x14ac:dyDescent="0.25">
      <c r="B296" s="50" t="str">
        <f>IF(VLOOKUP('Search by County'!$B$5,'Counties Served (2)'!$A$1:$JB$59,236,FALSE)=0,"↓",VLOOKUP('Search by County'!$B$5,'Counties Served (2)'!$A$1:$JB$59,236,FALSE))</f>
        <v>↓</v>
      </c>
    </row>
    <row r="297" spans="2:2" ht="30" customHeight="1" x14ac:dyDescent="0.25">
      <c r="B297" s="50" t="str">
        <f>IF(VLOOKUP('Search by County'!$B$5,'Counties Served (2)'!$A$1:$JB$59,237,FALSE)=0,"↓",VLOOKUP('Search by County'!$B$5,'Counties Served (2)'!$A$1:$JB$59,237,FALSE))</f>
        <v>Swell Energy</v>
      </c>
    </row>
    <row r="298" spans="2:2" ht="30" customHeight="1" x14ac:dyDescent="0.25">
      <c r="B298" s="50" t="str">
        <f>IF(VLOOKUP('Search by County'!$B$5,'Counties Served (2)'!$A$1:$JB$59,238,FALSE)=0,"↓",VLOOKUP('Search by County'!$B$5,'Counties Served (2)'!$A$1:$JB$59,238,FALSE))</f>
        <v>↓</v>
      </c>
    </row>
    <row r="299" spans="2:2" ht="30" customHeight="1" x14ac:dyDescent="0.25">
      <c r="B299" s="50" t="str">
        <f>IF(VLOOKUP('Search by County'!$B$5,'Counties Served (2)'!$A$1:$JB$59,239,FALSE)=0,"↓",VLOOKUP('Search by County'!$B$5,'Counties Served (2)'!$A$1:$JB$59,239,FALSE))</f>
        <v>↓</v>
      </c>
    </row>
    <row r="300" spans="2:2" ht="30" customHeight="1" x14ac:dyDescent="0.25">
      <c r="B300" s="50" t="str">
        <f>IF(VLOOKUP('Search by County'!$B$5,'Counties Served (2)'!$A$1:$JB$59,240,FALSE)=0,"↓",VLOOKUP('Search by County'!$B$5,'Counties Served (2)'!$A$1:$JB$59,240,FALSE))</f>
        <v>Synergy Power</v>
      </c>
    </row>
    <row r="301" spans="2:2" ht="30" customHeight="1" x14ac:dyDescent="0.25">
      <c r="B301" s="50" t="str">
        <f>IF(VLOOKUP('Search by County'!$B$5,'Counties Served (2)'!$A$1:$JB$59,241,FALSE)=0,"↓",VLOOKUP('Search by County'!$B$5,'Counties Served (2)'!$A$1:$JB$59,241,FALSE))</f>
        <v>↓</v>
      </c>
    </row>
    <row r="302" spans="2:2" ht="30" customHeight="1" x14ac:dyDescent="0.25">
      <c r="B302" s="50" t="str">
        <f>IF(VLOOKUP('Search by County'!$B$5,'Counties Served (2)'!$A$1:$JB$59,242,FALSE)=0,"↓",VLOOKUP('Search by County'!$B$5,'Counties Served (2)'!$A$1:$JB$59,242,FALSE))</f>
        <v>↓</v>
      </c>
    </row>
    <row r="303" spans="2:2" ht="30" customHeight="1" x14ac:dyDescent="0.25">
      <c r="B303" s="50" t="str">
        <f>IF(VLOOKUP('Search by County'!$B$5,'Counties Served (2)'!$A$1:$JB$59,243,FALSE)=0,"↓",VLOOKUP('Search by County'!$B$5,'Counties Served (2)'!$A$1:$JB$59,243,FALSE))</f>
        <v>↓</v>
      </c>
    </row>
    <row r="304" spans="2:2" ht="30" customHeight="1" x14ac:dyDescent="0.25">
      <c r="B304" s="50" t="str">
        <f>IF(VLOOKUP('Search by County'!$B$5,'Counties Served (2)'!$A$1:$JB$59,244,FALSE)=0,"↓",VLOOKUP('Search by County'!$B$5,'Counties Served (2)'!$A$1:$JB$59,244,FALSE))</f>
        <v>↓</v>
      </c>
    </row>
    <row r="305" spans="2:2" ht="30" customHeight="1" x14ac:dyDescent="0.25">
      <c r="B305" s="50" t="str">
        <f>IF(VLOOKUP('Search by County'!$B$5,'Counties Served (2)'!$A$1:$JB$59,245,FALSE)=0,"↓",VLOOKUP('Search by County'!$B$5,'Counties Served (2)'!$A$1:$JB$59,245,FALSE))</f>
        <v>Trinity Power</v>
      </c>
    </row>
    <row r="306" spans="2:2" ht="30" customHeight="1" x14ac:dyDescent="0.25">
      <c r="B306" s="50" t="str">
        <f>IF(VLOOKUP('Search by County'!$B$5,'Counties Served (2)'!$A$1:$JB$59,246,FALSE)=0,"↓",VLOOKUP('Search by County'!$B$5,'Counties Served (2)'!$A$1:$JB$59,246,FALSE))</f>
        <v>↓</v>
      </c>
    </row>
    <row r="307" spans="2:2" ht="30" customHeight="1" x14ac:dyDescent="0.25">
      <c r="B307" s="50" t="str">
        <f>IF(VLOOKUP('Search by County'!$B$5,'Counties Served (2)'!$A$1:$JB$59,247,FALSE)=0,"↓",VLOOKUP('Search by County'!$B$5,'Counties Served (2)'!$A$1:$JB$59,247,FALSE))</f>
        <v>V3 Electric Inc</v>
      </c>
    </row>
    <row r="308" spans="2:2" ht="30" customHeight="1" x14ac:dyDescent="0.25">
      <c r="B308" s="50" t="str">
        <f>IF(VLOOKUP('Search by County'!$B$5,'Counties Served (2)'!$A$1:$JB$59,248,FALSE)=0,"↓",VLOOKUP('Search by County'!$B$5,'Counties Served (2)'!$A$1:$JB$59,248,FALSE))</f>
        <v>↓</v>
      </c>
    </row>
    <row r="309" spans="2:2" ht="30" customHeight="1" x14ac:dyDescent="0.25">
      <c r="B309" s="50" t="str">
        <f>IF(VLOOKUP('Search by County'!$B$5,'Counties Served (2)'!$A$1:$JB$59,249,FALSE)=0,"↓",VLOOKUP('Search by County'!$B$5,'Counties Served (2)'!$A$1:$JB$59,249,FALSE))</f>
        <v>↓</v>
      </c>
    </row>
    <row r="310" spans="2:2" ht="30" customHeight="1" x14ac:dyDescent="0.25">
      <c r="B310" s="50" t="str">
        <f>IF(VLOOKUP('Search by County'!$B$5,'Counties Served (2)'!$A$1:$JB$59,250,FALSE)=0,"↓",VLOOKUP('Search by County'!$B$5,'Counties Served (2)'!$A$1:$JB$59,250,FALSE))</f>
        <v>Vivint Solar</v>
      </c>
    </row>
    <row r="311" spans="2:2" ht="30" customHeight="1" x14ac:dyDescent="0.25">
      <c r="B311" s="50" t="str">
        <f>IF(VLOOKUP('Search by County'!$B$5,'Counties Served (2)'!$A$1:$JB$59,251,FALSE)=0,"↓",VLOOKUP('Search by County'!$B$5,'Counties Served (2)'!$A$1:$JB$59,251,FALSE))</f>
        <v>↓</v>
      </c>
    </row>
    <row r="312" spans="2:2" ht="30" customHeight="1" x14ac:dyDescent="0.25">
      <c r="B312" s="50" t="str">
        <f>IF(VLOOKUP('Search by County'!$B$5,'Counties Served (2)'!$A$1:$JB$59,252,FALSE)=0,"↓",VLOOKUP('Search by County'!$B$5,'Counties Served (2)'!$A$1:$JB$59,252,FALSE))</f>
        <v>↓</v>
      </c>
    </row>
    <row r="313" spans="2:2" ht="30" customHeight="1" x14ac:dyDescent="0.25">
      <c r="B313" s="50" t="str">
        <f>IF(VLOOKUP('Search by County'!$B$5,'Counties Served (2)'!$A$1:$JB$59,253,FALSE)=0,"↓",VLOOKUP('Search by County'!$B$5,'Counties Served (2)'!$A$1:$JB$59,253,FALSE))</f>
        <v>↓</v>
      </c>
    </row>
    <row r="314" spans="2:2" ht="30" customHeight="1" x14ac:dyDescent="0.25">
      <c r="B314" s="50" t="str">
        <f>IF(VLOOKUP('Search by County'!$B$5,'Counties Served (2)'!$A$1:$JB$59,254,FALSE)=0,"↓",VLOOKUP('Search by County'!$B$5,'Counties Served (2)'!$A$1:$JB$59,254,FALSE))</f>
        <v>West Coast Solar</v>
      </c>
    </row>
    <row r="315" spans="2:2" ht="30" customHeight="1" x14ac:dyDescent="0.25">
      <c r="B315" s="50" t="str">
        <f>IF(VLOOKUP('Search by County'!$B$5,'Counties Served (2)'!$A$1:$JB$59,255,FALSE)=0,"↓",VLOOKUP('Search by County'!$B$5,'Counties Served (2)'!$A$1:$JB$59,255,FALSE))</f>
        <v>↓</v>
      </c>
    </row>
    <row r="316" spans="2:2" ht="30" customHeight="1" x14ac:dyDescent="0.25">
      <c r="B316" s="50" t="str">
        <f>IF(VLOOKUP('Search by County'!$B$5,'Counties Served (2)'!$A$1:$JB$59,256,FALSE)=0,"↓",VLOOKUP('Search by County'!$B$5,'Counties Served (2)'!$A$1:$JB$59,256,FALSE))</f>
        <v>Westhaven Inc.</v>
      </c>
    </row>
    <row r="317" spans="2:2" ht="30" customHeight="1" x14ac:dyDescent="0.25">
      <c r="B317" s="50" t="str">
        <f>IF(VLOOKUP('Search by County'!$B$5,'Counties Served (2)'!$A$1:$JB$59,257,FALSE)=0,"↓",VLOOKUP('Search by County'!$B$5,'Counties Served (2)'!$A$1:$JB$59,257,FALSE))</f>
        <v>↓</v>
      </c>
    </row>
    <row r="318" spans="2:2" ht="30" customHeight="1" x14ac:dyDescent="0.25">
      <c r="B318" s="50" t="str">
        <f>IF(VLOOKUP('Search by County'!$B$5,'Counties Served (2)'!$A$1:$JB$59,258,FALSE)=0,"↓",VLOOKUP('Search by County'!$B$5,'Counties Served (2)'!$A$1:$JB$59,258,FALSE))</f>
        <v>↓</v>
      </c>
    </row>
    <row r="319" spans="2:2" ht="30" customHeight="1" x14ac:dyDescent="0.25">
      <c r="B319" s="50" t="str">
        <f>IF(VLOOKUP('Search by County'!$B$5,'Counties Served (2)'!$A$1:$JB$59,259,FALSE)=0,"↓",VLOOKUP('Search by County'!$B$5,'Counties Served (2)'!$A$1:$JB$59,259,FALSE))</f>
        <v>↓</v>
      </c>
    </row>
    <row r="320" spans="2:2" ht="30" customHeight="1" x14ac:dyDescent="0.25">
      <c r="B320" s="50" t="str">
        <f>IF(VLOOKUP('Search by County'!$B$5,'Counties Served (2)'!$A$1:$JB$59,260,FALSE)=0,"↓",VLOOKUP('Search by County'!$B$5,'Counties Served (2)'!$A$1:$JB$59,260,FALSE))</f>
        <v>↓</v>
      </c>
    </row>
    <row r="321" spans="2:2" ht="30" customHeight="1" x14ac:dyDescent="0.25">
      <c r="B321" s="50" t="str">
        <f>IF(VLOOKUP('Search by County'!$B$5,'Counties Served (2)'!$A$1:$JB$59,261,FALSE)=0,"↓",VLOOKUP('Search by County'!$B$5,'Counties Served (2)'!$A$1:$JB$59,261,FALSE))</f>
        <v>Your Energy Source (YES)</v>
      </c>
    </row>
    <row r="322" spans="2:2" ht="30" customHeight="1" thickBot="1" x14ac:dyDescent="0.3">
      <c r="B322" s="51" t="str">
        <f>IF(VLOOKUP('Search by County'!$B$5,'Counties Served (2)'!$A$1:$JB$59,262,FALSE)=0,"↑",VLOOKUP('Search by County'!$B$5,'Counties Served (2)'!$A$1:$JB$59,262,FALSE))</f>
        <v>↑</v>
      </c>
    </row>
    <row r="323" spans="2:2" ht="30" customHeight="1" thickTop="1" x14ac:dyDescent="0.25"/>
  </sheetData>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82A3-04A1-4C6C-AA37-6A91312EADA8}">
  <dimension ref="A1:X267"/>
  <sheetViews>
    <sheetView workbookViewId="0">
      <pane xSplit="1" ySplit="7" topLeftCell="B77"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7.140625" style="1" bestFit="1" customWidth="1"/>
    <col min="2" max="2" width="68" style="2" bestFit="1" customWidth="1"/>
    <col min="3" max="3" width="45.85546875" style="2" bestFit="1" customWidth="1"/>
    <col min="4" max="4" width="37.85546875" style="2" bestFit="1" customWidth="1"/>
    <col min="5" max="5" width="23.140625" style="2" bestFit="1" customWidth="1"/>
    <col min="6" max="6" width="15" style="3" bestFit="1" customWidth="1"/>
    <col min="7" max="7" width="18.42578125" style="4" bestFit="1" customWidth="1"/>
    <col min="8" max="9" width="12" style="1" customWidth="1"/>
    <col min="10" max="11" width="13.140625" style="1" customWidth="1"/>
    <col min="12" max="12" width="16.42578125" style="1" bestFit="1" customWidth="1"/>
    <col min="13" max="13" width="20.28515625" style="1" bestFit="1" customWidth="1"/>
    <col min="14" max="14" width="20" style="1" bestFit="1" customWidth="1"/>
    <col min="15" max="15" width="13.42578125" style="1" bestFit="1" customWidth="1"/>
    <col min="16" max="16" width="12" style="1" customWidth="1"/>
    <col min="17" max="17" width="16.7109375" style="1" bestFit="1" customWidth="1"/>
    <col min="18" max="18" width="21" style="1" bestFit="1" customWidth="1"/>
    <col min="19" max="19" width="29.42578125" style="1" bestFit="1" customWidth="1"/>
    <col min="20" max="20" width="21.28515625" style="1" bestFit="1" customWidth="1"/>
    <col min="21" max="21" width="68.42578125" style="1" bestFit="1" customWidth="1"/>
    <col min="22" max="22" width="28.140625" style="1" bestFit="1" customWidth="1"/>
    <col min="23" max="23" width="62" style="1" bestFit="1" customWidth="1"/>
    <col min="24" max="24" width="99.140625" style="1" bestFit="1" customWidth="1"/>
    <col min="25" max="16384" width="9.140625" style="2"/>
  </cols>
  <sheetData>
    <row r="1" spans="1:24" x14ac:dyDescent="0.25">
      <c r="A1" s="1" t="s">
        <v>847</v>
      </c>
      <c r="B1" s="2" t="s">
        <v>848</v>
      </c>
      <c r="C1" s="2" t="s">
        <v>1305</v>
      </c>
      <c r="D1" s="2" t="s">
        <v>1306</v>
      </c>
      <c r="E1" s="2" t="s">
        <v>1307</v>
      </c>
      <c r="F1" s="3" t="s">
        <v>1308</v>
      </c>
    </row>
    <row r="2" spans="1:24" x14ac:dyDescent="0.25">
      <c r="A2" s="1" t="s">
        <v>882</v>
      </c>
      <c r="B2" s="2" t="str">
        <f>VLOOKUP($A$2,$A$7:B266,2,FALSE)</f>
        <v>www.thatsbyers.com</v>
      </c>
      <c r="C2" s="2" t="e" cm="1">
        <f t="array" ref="C2">VLOOKUP($A$2,$A$7:'[1]Index-Match'!$I$12=INC266,2,FALSE)</f>
        <v>#VALUE!</v>
      </c>
      <c r="D2" s="2" t="e">
        <f t="shared" ref="D2:O2" si="0">VLOOKUP(C2,C7:D266,2,FALSE)</f>
        <v>#VALUE!</v>
      </c>
      <c r="E2" s="2" t="e">
        <f t="shared" si="0"/>
        <v>#VALUE!</v>
      </c>
      <c r="F2" s="2" t="e">
        <f t="shared" si="0"/>
        <v>#VALUE!</v>
      </c>
      <c r="G2" s="2" t="e">
        <f t="shared" si="0"/>
        <v>#VALUE!</v>
      </c>
      <c r="H2" s="2" t="e">
        <f t="shared" si="0"/>
        <v>#VALUE!</v>
      </c>
      <c r="I2" s="2" t="e">
        <f t="shared" si="0"/>
        <v>#VALUE!</v>
      </c>
      <c r="J2" s="2" t="e">
        <f t="shared" si="0"/>
        <v>#VALUE!</v>
      </c>
      <c r="K2" s="2" t="e">
        <f t="shared" si="0"/>
        <v>#VALUE!</v>
      </c>
      <c r="L2" s="2" t="e">
        <f t="shared" si="0"/>
        <v>#VALUE!</v>
      </c>
      <c r="M2" s="2" t="e">
        <f t="shared" si="0"/>
        <v>#VALUE!</v>
      </c>
      <c r="N2" s="2" t="e">
        <f t="shared" si="0"/>
        <v>#VALUE!</v>
      </c>
      <c r="O2" s="2" t="e">
        <f t="shared" si="0"/>
        <v>#VALUE!</v>
      </c>
    </row>
    <row r="7" spans="1:24" ht="105" x14ac:dyDescent="0.25">
      <c r="A7" s="6" t="s">
        <v>847</v>
      </c>
      <c r="B7" s="7" t="s">
        <v>848</v>
      </c>
      <c r="C7" s="7" t="s">
        <v>849</v>
      </c>
      <c r="D7" s="7" t="s">
        <v>1214</v>
      </c>
      <c r="E7" s="7" t="s">
        <v>1220</v>
      </c>
      <c r="F7" s="8" t="s">
        <v>958</v>
      </c>
      <c r="G7" s="8" t="s">
        <v>955</v>
      </c>
      <c r="H7" s="6" t="s">
        <v>844</v>
      </c>
      <c r="I7" s="6" t="s">
        <v>845</v>
      </c>
      <c r="J7" s="19" t="s">
        <v>1217</v>
      </c>
      <c r="K7" s="19" t="s">
        <v>960</v>
      </c>
      <c r="L7" s="20" t="s">
        <v>1298</v>
      </c>
      <c r="M7" s="19" t="s">
        <v>959</v>
      </c>
      <c r="N7" s="20" t="s">
        <v>1299</v>
      </c>
      <c r="O7" s="19" t="s">
        <v>1309</v>
      </c>
      <c r="P7" s="20" t="s">
        <v>1300</v>
      </c>
      <c r="Q7" s="6" t="s">
        <v>1207</v>
      </c>
      <c r="R7" s="6" t="s">
        <v>1211</v>
      </c>
      <c r="S7" s="6" t="s">
        <v>1208</v>
      </c>
      <c r="T7" s="6" t="s">
        <v>1212</v>
      </c>
      <c r="U7" s="6" t="s">
        <v>963</v>
      </c>
      <c r="V7" s="6" t="s">
        <v>1209</v>
      </c>
      <c r="W7" s="6" t="s">
        <v>965</v>
      </c>
      <c r="X7" s="6" t="s">
        <v>964</v>
      </c>
    </row>
    <row r="8" spans="1:24" ht="67.5" customHeight="1" x14ac:dyDescent="0.25">
      <c r="A8" s="1" t="s">
        <v>857</v>
      </c>
      <c r="B8" s="2" t="s">
        <v>593</v>
      </c>
      <c r="C8" s="2" t="s">
        <v>594</v>
      </c>
      <c r="D8" s="2" t="s">
        <v>48</v>
      </c>
      <c r="E8" s="2" t="s">
        <v>48</v>
      </c>
      <c r="F8" s="3">
        <v>8442923700</v>
      </c>
      <c r="G8" s="4" t="s">
        <v>48</v>
      </c>
      <c r="H8" s="1" t="s">
        <v>34</v>
      </c>
      <c r="I8" s="1">
        <v>576474</v>
      </c>
      <c r="J8" s="1" t="s">
        <v>48</v>
      </c>
      <c r="K8" s="1" t="s">
        <v>35</v>
      </c>
      <c r="L8" s="1" t="s">
        <v>961</v>
      </c>
      <c r="M8" s="1" t="s">
        <v>2</v>
      </c>
      <c r="N8" s="1" t="s">
        <v>3</v>
      </c>
      <c r="O8" s="1" t="s">
        <v>0</v>
      </c>
      <c r="Q8" s="1" t="s">
        <v>34</v>
      </c>
      <c r="R8" s="1" t="s">
        <v>34</v>
      </c>
      <c r="S8" s="1" t="s">
        <v>34</v>
      </c>
      <c r="T8" s="1" t="s">
        <v>36</v>
      </c>
      <c r="U8" s="1" t="s">
        <v>1213</v>
      </c>
      <c r="V8" s="1" t="s">
        <v>1210</v>
      </c>
      <c r="W8" s="1" t="s">
        <v>1213</v>
      </c>
      <c r="X8" s="1" t="s">
        <v>984</v>
      </c>
    </row>
    <row r="9" spans="1:24" ht="270" x14ac:dyDescent="0.25">
      <c r="A9" s="1" t="s">
        <v>863</v>
      </c>
      <c r="B9" s="2" t="s">
        <v>616</v>
      </c>
      <c r="C9" s="2" t="s">
        <v>617</v>
      </c>
      <c r="D9" s="2" t="s">
        <v>48</v>
      </c>
      <c r="E9" s="2" t="s">
        <v>48</v>
      </c>
      <c r="F9" s="3">
        <v>8885333487</v>
      </c>
      <c r="G9" s="4" t="s">
        <v>48</v>
      </c>
      <c r="H9" s="1" t="s">
        <v>34</v>
      </c>
      <c r="I9" s="1">
        <v>825849</v>
      </c>
      <c r="J9" s="1" t="s">
        <v>48</v>
      </c>
      <c r="K9" s="1" t="s">
        <v>35</v>
      </c>
      <c r="M9" s="1" t="s">
        <v>2</v>
      </c>
      <c r="O9" s="1" t="s">
        <v>0</v>
      </c>
      <c r="Q9" s="1" t="s">
        <v>34</v>
      </c>
      <c r="R9" s="1" t="s">
        <v>36</v>
      </c>
      <c r="S9" s="1" t="s">
        <v>34</v>
      </c>
      <c r="T9" s="1" t="s">
        <v>34</v>
      </c>
      <c r="U9" s="1" t="s">
        <v>1198</v>
      </c>
      <c r="V9" s="1" t="s">
        <v>34</v>
      </c>
      <c r="W9" s="1" t="s">
        <v>1115</v>
      </c>
      <c r="X9" s="1" t="s">
        <v>1114</v>
      </c>
    </row>
    <row r="10" spans="1:24" ht="30" x14ac:dyDescent="0.25">
      <c r="A10" s="1" t="s">
        <v>240</v>
      </c>
      <c r="B10" s="2" t="s">
        <v>241</v>
      </c>
      <c r="C10" s="2" t="s">
        <v>242</v>
      </c>
      <c r="D10" s="2" t="s">
        <v>48</v>
      </c>
      <c r="E10" s="2" t="s">
        <v>48</v>
      </c>
      <c r="F10" s="3">
        <v>5597342748</v>
      </c>
      <c r="G10" s="4" t="s">
        <v>48</v>
      </c>
      <c r="H10" s="1" t="s">
        <v>34</v>
      </c>
      <c r="I10" s="1">
        <v>992601</v>
      </c>
      <c r="J10" s="1" t="s">
        <v>48</v>
      </c>
      <c r="K10" s="1" t="s">
        <v>35</v>
      </c>
      <c r="M10" s="1" t="s">
        <v>2</v>
      </c>
      <c r="N10" s="1" t="s">
        <v>3</v>
      </c>
      <c r="O10" s="1" t="s">
        <v>0</v>
      </c>
      <c r="Q10" s="1" t="s">
        <v>34</v>
      </c>
      <c r="R10" s="1" t="s">
        <v>34</v>
      </c>
      <c r="S10" s="1" t="s">
        <v>34</v>
      </c>
      <c r="T10" s="1" t="s">
        <v>34</v>
      </c>
      <c r="U10" s="1" t="s">
        <v>1116</v>
      </c>
      <c r="V10" s="1" t="s">
        <v>34</v>
      </c>
      <c r="W10" s="1" t="s">
        <v>243</v>
      </c>
      <c r="X10" s="1" t="s">
        <v>1117</v>
      </c>
    </row>
    <row r="11" spans="1:24" ht="150" x14ac:dyDescent="0.25">
      <c r="A11" s="1" t="s">
        <v>214</v>
      </c>
      <c r="B11" s="2" t="s">
        <v>215</v>
      </c>
      <c r="C11" s="2" t="s">
        <v>216</v>
      </c>
      <c r="D11" s="2" t="s">
        <v>48</v>
      </c>
      <c r="E11" s="2" t="s">
        <v>48</v>
      </c>
      <c r="F11" s="3">
        <v>5105265715</v>
      </c>
      <c r="G11" s="4" t="s">
        <v>48</v>
      </c>
      <c r="H11" s="1" t="s">
        <v>34</v>
      </c>
      <c r="I11" s="1">
        <v>891743</v>
      </c>
      <c r="J11" s="1" t="s">
        <v>48</v>
      </c>
      <c r="K11" s="1" t="s">
        <v>35</v>
      </c>
      <c r="N11" s="1" t="s">
        <v>3</v>
      </c>
      <c r="O11" s="1" t="s">
        <v>0</v>
      </c>
      <c r="Q11" s="1" t="s">
        <v>34</v>
      </c>
      <c r="R11" s="1" t="s">
        <v>34</v>
      </c>
      <c r="S11" s="1" t="s">
        <v>34</v>
      </c>
      <c r="T11" s="1" t="s">
        <v>36</v>
      </c>
      <c r="U11" s="1" t="s">
        <v>1213</v>
      </c>
      <c r="V11" s="1" t="s">
        <v>34</v>
      </c>
      <c r="W11" s="1" t="s">
        <v>985</v>
      </c>
      <c r="X11" s="1" t="s">
        <v>1107</v>
      </c>
    </row>
    <row r="12" spans="1:24" ht="90" x14ac:dyDescent="0.25">
      <c r="A12" s="1" t="s">
        <v>866</v>
      </c>
      <c r="B12" s="2" t="s">
        <v>622</v>
      </c>
      <c r="C12" s="2" t="s">
        <v>623</v>
      </c>
      <c r="D12" s="2" t="s">
        <v>48</v>
      </c>
      <c r="E12" s="2" t="s">
        <v>48</v>
      </c>
      <c r="F12" s="3">
        <v>9164817200</v>
      </c>
      <c r="G12" s="4" t="s">
        <v>48</v>
      </c>
      <c r="H12" s="1" t="s">
        <v>34</v>
      </c>
      <c r="I12" s="1">
        <v>979954</v>
      </c>
      <c r="J12" s="1" t="s">
        <v>48</v>
      </c>
      <c r="K12" s="1" t="s">
        <v>35</v>
      </c>
      <c r="M12" s="1" t="s">
        <v>2</v>
      </c>
      <c r="N12" s="1" t="s">
        <v>3</v>
      </c>
      <c r="O12" s="1" t="s">
        <v>0</v>
      </c>
      <c r="Q12" s="1" t="s">
        <v>34</v>
      </c>
      <c r="R12" s="1" t="s">
        <v>34</v>
      </c>
      <c r="S12" s="1" t="s">
        <v>34</v>
      </c>
      <c r="T12" s="1" t="s">
        <v>34</v>
      </c>
      <c r="U12" s="1" t="s">
        <v>624</v>
      </c>
      <c r="V12" s="1" t="s">
        <v>34</v>
      </c>
      <c r="W12" s="1" t="s">
        <v>1118</v>
      </c>
      <c r="X12" s="1" t="s">
        <v>1071</v>
      </c>
    </row>
    <row r="13" spans="1:24" ht="45" x14ac:dyDescent="0.25">
      <c r="A13" s="1" t="s">
        <v>71</v>
      </c>
      <c r="B13" s="2" t="s">
        <v>72</v>
      </c>
      <c r="C13" s="2" t="s">
        <v>73</v>
      </c>
      <c r="D13" s="2" t="s">
        <v>48</v>
      </c>
      <c r="E13" s="2" t="s">
        <v>48</v>
      </c>
      <c r="F13" s="3">
        <v>7077899537</v>
      </c>
      <c r="G13" s="4" t="s">
        <v>48</v>
      </c>
      <c r="H13" s="1" t="s">
        <v>34</v>
      </c>
      <c r="I13" s="1">
        <v>806325</v>
      </c>
      <c r="J13" s="1" t="s">
        <v>48</v>
      </c>
      <c r="K13" s="1" t="s">
        <v>35</v>
      </c>
      <c r="L13" s="1" t="s">
        <v>961</v>
      </c>
      <c r="M13" s="1" t="s">
        <v>2</v>
      </c>
      <c r="N13" s="1" t="s">
        <v>3</v>
      </c>
      <c r="O13" s="1" t="s">
        <v>0</v>
      </c>
      <c r="P13" s="1" t="s">
        <v>1</v>
      </c>
      <c r="Q13" s="1" t="s">
        <v>34</v>
      </c>
      <c r="R13" s="1" t="s">
        <v>34</v>
      </c>
      <c r="S13" s="1" t="s">
        <v>34</v>
      </c>
      <c r="T13" s="1" t="s">
        <v>36</v>
      </c>
      <c r="U13" s="1" t="s">
        <v>1213</v>
      </c>
      <c r="V13" s="1" t="s">
        <v>34</v>
      </c>
      <c r="W13" s="1" t="s">
        <v>74</v>
      </c>
      <c r="X13" s="1" t="s">
        <v>986</v>
      </c>
    </row>
    <row r="14" spans="1:24" ht="30" x14ac:dyDescent="0.25">
      <c r="A14" s="1" t="s">
        <v>1233</v>
      </c>
      <c r="B14" s="2" t="s">
        <v>792</v>
      </c>
      <c r="C14" s="2" t="s">
        <v>793</v>
      </c>
      <c r="D14" s="2" t="s">
        <v>48</v>
      </c>
      <c r="E14" s="2" t="s">
        <v>48</v>
      </c>
      <c r="F14" s="3">
        <v>8058233232</v>
      </c>
      <c r="G14" s="4" t="s">
        <v>48</v>
      </c>
      <c r="H14" s="1" t="s">
        <v>34</v>
      </c>
      <c r="I14" s="1">
        <v>1009773</v>
      </c>
      <c r="J14" s="1" t="s">
        <v>48</v>
      </c>
      <c r="K14" s="1" t="s">
        <v>35</v>
      </c>
      <c r="M14" s="1" t="s">
        <v>2</v>
      </c>
      <c r="N14" s="1" t="s">
        <v>3</v>
      </c>
      <c r="O14" s="1" t="s">
        <v>0</v>
      </c>
      <c r="Q14" s="1" t="s">
        <v>34</v>
      </c>
      <c r="R14" s="1" t="s">
        <v>34</v>
      </c>
      <c r="S14" s="1" t="s">
        <v>34</v>
      </c>
      <c r="T14" s="1" t="s">
        <v>34</v>
      </c>
      <c r="U14" s="1" t="s">
        <v>969</v>
      </c>
      <c r="V14" s="1" t="s">
        <v>1210</v>
      </c>
      <c r="W14" s="1" t="s">
        <v>1213</v>
      </c>
      <c r="X14" s="1" t="s">
        <v>1213</v>
      </c>
    </row>
    <row r="15" spans="1:24" ht="30" x14ac:dyDescent="0.25">
      <c r="A15" s="1" t="s">
        <v>907</v>
      </c>
      <c r="B15" s="2" t="s">
        <v>738</v>
      </c>
      <c r="C15" s="2" t="s">
        <v>739</v>
      </c>
      <c r="D15" s="2" t="s">
        <v>48</v>
      </c>
      <c r="E15" s="2" t="s">
        <v>48</v>
      </c>
      <c r="F15" s="3">
        <v>5597470111</v>
      </c>
      <c r="G15" s="4" t="s">
        <v>48</v>
      </c>
      <c r="H15" s="1" t="s">
        <v>34</v>
      </c>
      <c r="I15" s="1">
        <v>885073</v>
      </c>
      <c r="J15" s="1" t="s">
        <v>48</v>
      </c>
      <c r="K15" s="1" t="s">
        <v>35</v>
      </c>
      <c r="L15" s="1" t="s">
        <v>961</v>
      </c>
      <c r="M15" s="1" t="s">
        <v>2</v>
      </c>
      <c r="N15" s="1" t="s">
        <v>3</v>
      </c>
      <c r="O15" s="1" t="s">
        <v>0</v>
      </c>
      <c r="P15" s="1" t="s">
        <v>1</v>
      </c>
      <c r="Q15" s="1" t="s">
        <v>36</v>
      </c>
      <c r="R15" s="1" t="s">
        <v>34</v>
      </c>
      <c r="S15" s="1" t="s">
        <v>34</v>
      </c>
      <c r="T15" s="1" t="s">
        <v>36</v>
      </c>
      <c r="U15" s="1" t="s">
        <v>1213</v>
      </c>
      <c r="V15" s="1" t="s">
        <v>34</v>
      </c>
      <c r="W15" s="1" t="s">
        <v>740</v>
      </c>
      <c r="X15" s="1" t="s">
        <v>1213</v>
      </c>
    </row>
    <row r="16" spans="1:24" ht="30" x14ac:dyDescent="0.25">
      <c r="A16" s="1" t="s">
        <v>458</v>
      </c>
      <c r="B16" s="2" t="s">
        <v>458</v>
      </c>
      <c r="C16" s="2" t="s">
        <v>459</v>
      </c>
      <c r="D16" s="2" t="s">
        <v>48</v>
      </c>
      <c r="E16" s="2" t="s">
        <v>48</v>
      </c>
      <c r="F16" s="3">
        <v>4155581786</v>
      </c>
      <c r="G16" s="4" t="s">
        <v>48</v>
      </c>
      <c r="H16" s="1" t="s">
        <v>34</v>
      </c>
      <c r="I16" s="1">
        <v>878027</v>
      </c>
      <c r="J16" s="1" t="s">
        <v>48</v>
      </c>
      <c r="K16" s="1" t="s">
        <v>35</v>
      </c>
      <c r="M16" s="1" t="s">
        <v>2</v>
      </c>
      <c r="N16" s="1" t="s">
        <v>3</v>
      </c>
      <c r="O16" s="1" t="s">
        <v>0</v>
      </c>
      <c r="P16" s="1" t="s">
        <v>1</v>
      </c>
      <c r="Q16" s="1" t="s">
        <v>1210</v>
      </c>
      <c r="R16" s="1" t="s">
        <v>1210</v>
      </c>
      <c r="S16" s="1" t="s">
        <v>1210</v>
      </c>
      <c r="T16" s="1" t="s">
        <v>36</v>
      </c>
      <c r="U16" s="1" t="s">
        <v>1213</v>
      </c>
      <c r="V16" s="1" t="s">
        <v>1210</v>
      </c>
      <c r="W16" s="1" t="s">
        <v>1213</v>
      </c>
      <c r="X16" s="1" t="s">
        <v>1213</v>
      </c>
    </row>
    <row r="17" spans="1:24" ht="30" x14ac:dyDescent="0.25">
      <c r="A17" s="1" t="s">
        <v>208</v>
      </c>
      <c r="B17" s="2" t="s">
        <v>209</v>
      </c>
      <c r="C17" s="2" t="s">
        <v>210</v>
      </c>
      <c r="D17" s="2" t="s">
        <v>48</v>
      </c>
      <c r="E17" s="2" t="s">
        <v>48</v>
      </c>
      <c r="F17" s="3">
        <v>7608774759</v>
      </c>
      <c r="G17" s="4" t="s">
        <v>48</v>
      </c>
      <c r="H17" s="1" t="s">
        <v>34</v>
      </c>
      <c r="I17" s="1">
        <v>983966</v>
      </c>
      <c r="J17" s="1" t="s">
        <v>48</v>
      </c>
      <c r="K17" s="1" t="s">
        <v>35</v>
      </c>
      <c r="L17" s="1" t="s">
        <v>961</v>
      </c>
      <c r="M17" s="1" t="s">
        <v>2</v>
      </c>
      <c r="O17" s="1" t="s">
        <v>0</v>
      </c>
      <c r="Q17" s="1" t="s">
        <v>1210</v>
      </c>
      <c r="R17" s="1" t="s">
        <v>1210</v>
      </c>
      <c r="S17" s="1" t="s">
        <v>1210</v>
      </c>
      <c r="T17" s="1" t="s">
        <v>36</v>
      </c>
      <c r="U17" s="1" t="s">
        <v>1213</v>
      </c>
      <c r="V17" s="1" t="s">
        <v>1210</v>
      </c>
      <c r="W17" s="1" t="s">
        <v>1213</v>
      </c>
      <c r="X17" s="1" t="s">
        <v>1213</v>
      </c>
    </row>
    <row r="18" spans="1:24" ht="120" x14ac:dyDescent="0.25">
      <c r="A18" s="1" t="s">
        <v>906</v>
      </c>
      <c r="B18" s="2" t="s">
        <v>734</v>
      </c>
      <c r="C18" s="2" t="s">
        <v>735</v>
      </c>
      <c r="D18" s="2" t="s">
        <v>48</v>
      </c>
      <c r="E18" s="2" t="s">
        <v>48</v>
      </c>
      <c r="F18" s="3">
        <v>7608925483</v>
      </c>
      <c r="G18" s="4" t="s">
        <v>48</v>
      </c>
      <c r="H18" s="1" t="s">
        <v>34</v>
      </c>
      <c r="I18" s="1">
        <v>983966</v>
      </c>
      <c r="J18" s="1" t="s">
        <v>48</v>
      </c>
      <c r="K18" s="1" t="s">
        <v>35</v>
      </c>
      <c r="L18" s="1" t="s">
        <v>961</v>
      </c>
      <c r="M18" s="1" t="s">
        <v>2</v>
      </c>
      <c r="N18" s="1" t="s">
        <v>3</v>
      </c>
      <c r="O18" s="1" t="s">
        <v>0</v>
      </c>
      <c r="Q18" s="1" t="s">
        <v>34</v>
      </c>
      <c r="R18" s="1" t="s">
        <v>34</v>
      </c>
      <c r="S18" s="1" t="s">
        <v>34</v>
      </c>
      <c r="T18" s="1" t="s">
        <v>34</v>
      </c>
      <c r="U18" s="1" t="s">
        <v>736</v>
      </c>
      <c r="V18" s="1" t="s">
        <v>34</v>
      </c>
      <c r="W18" s="1" t="s">
        <v>987</v>
      </c>
      <c r="X18" s="1" t="s">
        <v>737</v>
      </c>
    </row>
    <row r="19" spans="1:24" ht="150" x14ac:dyDescent="0.25">
      <c r="A19" s="1" t="s">
        <v>1295</v>
      </c>
      <c r="B19" s="2" t="s">
        <v>474</v>
      </c>
      <c r="C19" s="2" t="s">
        <v>475</v>
      </c>
      <c r="D19" s="2" t="s">
        <v>48</v>
      </c>
      <c r="E19" s="2" t="s">
        <v>48</v>
      </c>
      <c r="F19" s="3">
        <v>5307366527</v>
      </c>
      <c r="G19" s="4" t="s">
        <v>48</v>
      </c>
      <c r="H19" s="1" t="s">
        <v>34</v>
      </c>
      <c r="I19" s="1">
        <v>1037365</v>
      </c>
      <c r="J19" s="1" t="s">
        <v>48</v>
      </c>
      <c r="K19" s="1" t="s">
        <v>35</v>
      </c>
      <c r="M19" s="1" t="s">
        <v>2</v>
      </c>
      <c r="N19" s="1" t="s">
        <v>3</v>
      </c>
      <c r="O19" s="1" t="s">
        <v>0</v>
      </c>
      <c r="Q19" s="1" t="s">
        <v>34</v>
      </c>
      <c r="R19" s="1" t="s">
        <v>34</v>
      </c>
      <c r="S19" s="1" t="s">
        <v>34</v>
      </c>
      <c r="T19" s="1" t="s">
        <v>34</v>
      </c>
      <c r="U19" s="1" t="s">
        <v>1119</v>
      </c>
      <c r="V19" s="1" t="s">
        <v>34</v>
      </c>
      <c r="W19" s="1" t="s">
        <v>1205</v>
      </c>
      <c r="X19" s="1" t="s">
        <v>1072</v>
      </c>
    </row>
    <row r="20" spans="1:24" ht="45" x14ac:dyDescent="0.25">
      <c r="A20" s="1" t="s">
        <v>941</v>
      </c>
      <c r="B20" s="2" t="s">
        <v>808</v>
      </c>
      <c r="C20" s="2" t="s">
        <v>809</v>
      </c>
      <c r="D20" s="2" t="s">
        <v>48</v>
      </c>
      <c r="E20" s="2" t="s">
        <v>48</v>
      </c>
      <c r="F20" s="3">
        <v>8182014206</v>
      </c>
      <c r="G20" s="4" t="s">
        <v>48</v>
      </c>
      <c r="H20" s="1" t="s">
        <v>34</v>
      </c>
      <c r="I20" s="1">
        <v>979146</v>
      </c>
      <c r="J20" s="1" t="s">
        <v>48</v>
      </c>
      <c r="K20" s="1" t="s">
        <v>35</v>
      </c>
      <c r="M20" s="1" t="s">
        <v>2</v>
      </c>
      <c r="N20" s="1" t="s">
        <v>3</v>
      </c>
      <c r="O20" s="1" t="s">
        <v>0</v>
      </c>
      <c r="Q20" s="1" t="s">
        <v>34</v>
      </c>
      <c r="R20" s="1" t="s">
        <v>36</v>
      </c>
      <c r="S20" s="1" t="s">
        <v>34</v>
      </c>
      <c r="T20" s="1" t="s">
        <v>34</v>
      </c>
      <c r="U20" s="1" t="s">
        <v>810</v>
      </c>
      <c r="V20" s="1" t="s">
        <v>1210</v>
      </c>
      <c r="W20" s="1" t="s">
        <v>1213</v>
      </c>
      <c r="X20" s="1" t="s">
        <v>811</v>
      </c>
    </row>
    <row r="21" spans="1:24" ht="30" x14ac:dyDescent="0.25">
      <c r="A21" s="1" t="s">
        <v>122</v>
      </c>
      <c r="B21" s="2" t="s">
        <v>123</v>
      </c>
      <c r="C21" s="2" t="s">
        <v>124</v>
      </c>
      <c r="D21" s="2" t="s">
        <v>48</v>
      </c>
      <c r="E21" s="2" t="s">
        <v>48</v>
      </c>
      <c r="F21" s="3">
        <v>9495028565</v>
      </c>
      <c r="G21" s="4" t="s">
        <v>48</v>
      </c>
      <c r="H21" s="1" t="s">
        <v>34</v>
      </c>
      <c r="I21" s="1">
        <v>1001983</v>
      </c>
      <c r="J21" s="1" t="s">
        <v>48</v>
      </c>
      <c r="K21" s="1" t="s">
        <v>35</v>
      </c>
      <c r="L21" s="1" t="s">
        <v>961</v>
      </c>
      <c r="M21" s="1" t="s">
        <v>2</v>
      </c>
      <c r="N21" s="1" t="s">
        <v>3</v>
      </c>
      <c r="O21" s="1" t="s">
        <v>0</v>
      </c>
      <c r="P21" s="1" t="s">
        <v>1</v>
      </c>
      <c r="Q21" s="1" t="s">
        <v>34</v>
      </c>
      <c r="R21" s="1" t="s">
        <v>36</v>
      </c>
      <c r="S21" s="1" t="s">
        <v>34</v>
      </c>
      <c r="T21" s="1" t="s">
        <v>36</v>
      </c>
      <c r="U21" s="1" t="s">
        <v>1213</v>
      </c>
      <c r="V21" s="1" t="s">
        <v>1210</v>
      </c>
      <c r="W21" s="1" t="s">
        <v>1213</v>
      </c>
      <c r="X21" s="1" t="s">
        <v>1213</v>
      </c>
    </row>
    <row r="22" spans="1:24" ht="60" x14ac:dyDescent="0.25">
      <c r="A22" s="1" t="s">
        <v>881</v>
      </c>
      <c r="B22" s="2" t="s">
        <v>661</v>
      </c>
      <c r="C22" s="2" t="s">
        <v>662</v>
      </c>
      <c r="D22" s="2" t="s">
        <v>48</v>
      </c>
      <c r="E22" s="2" t="s">
        <v>48</v>
      </c>
      <c r="F22" s="3">
        <v>5596882544</v>
      </c>
      <c r="G22" s="4" t="s">
        <v>48</v>
      </c>
      <c r="H22" s="1" t="s">
        <v>34</v>
      </c>
      <c r="I22" s="1">
        <v>944549</v>
      </c>
      <c r="J22" s="1" t="s">
        <v>48</v>
      </c>
      <c r="K22" s="1" t="s">
        <v>35</v>
      </c>
      <c r="M22" s="1" t="s">
        <v>2</v>
      </c>
      <c r="N22" s="1" t="s">
        <v>3</v>
      </c>
      <c r="O22" s="1" t="s">
        <v>0</v>
      </c>
      <c r="P22" s="1" t="s">
        <v>1</v>
      </c>
      <c r="Q22" s="1" t="s">
        <v>34</v>
      </c>
      <c r="R22" s="1" t="s">
        <v>34</v>
      </c>
      <c r="S22" s="1" t="s">
        <v>34</v>
      </c>
      <c r="T22" s="1" t="s">
        <v>36</v>
      </c>
      <c r="U22" s="1" t="s">
        <v>1213</v>
      </c>
      <c r="V22" s="1" t="s">
        <v>34</v>
      </c>
      <c r="W22" s="1" t="s">
        <v>989</v>
      </c>
      <c r="X22" s="1" t="s">
        <v>1108</v>
      </c>
    </row>
    <row r="23" spans="1:24" ht="105" x14ac:dyDescent="0.25">
      <c r="A23" s="1" t="s">
        <v>936</v>
      </c>
      <c r="B23" s="2" t="s">
        <v>800</v>
      </c>
      <c r="C23" s="2" t="s">
        <v>801</v>
      </c>
      <c r="D23" s="2" t="s">
        <v>48</v>
      </c>
      <c r="E23" s="2" t="s">
        <v>48</v>
      </c>
      <c r="F23" s="3">
        <v>9495741887</v>
      </c>
      <c r="G23" s="4" t="s">
        <v>48</v>
      </c>
      <c r="H23" s="1" t="s">
        <v>34</v>
      </c>
      <c r="I23" s="1">
        <v>967586</v>
      </c>
      <c r="J23" s="1" t="s">
        <v>48</v>
      </c>
      <c r="K23" s="1" t="s">
        <v>35</v>
      </c>
      <c r="L23" s="1" t="s">
        <v>961</v>
      </c>
      <c r="M23" s="1" t="s">
        <v>2</v>
      </c>
      <c r="O23" s="1" t="s">
        <v>0</v>
      </c>
      <c r="Q23" s="1" t="s">
        <v>34</v>
      </c>
      <c r="R23" s="1" t="s">
        <v>34</v>
      </c>
      <c r="S23" s="1" t="s">
        <v>34</v>
      </c>
      <c r="T23" s="1" t="s">
        <v>36</v>
      </c>
      <c r="U23" s="1" t="s">
        <v>1213</v>
      </c>
      <c r="V23" s="1" t="s">
        <v>34</v>
      </c>
      <c r="W23" s="1" t="s">
        <v>990</v>
      </c>
      <c r="X23" s="1" t="s">
        <v>1120</v>
      </c>
    </row>
    <row r="24" spans="1:24" ht="150" x14ac:dyDescent="0.25">
      <c r="A24" s="1" t="s">
        <v>87</v>
      </c>
      <c r="B24" s="2" t="s">
        <v>88</v>
      </c>
      <c r="C24" s="2" t="s">
        <v>89</v>
      </c>
      <c r="D24" s="2" t="s">
        <v>48</v>
      </c>
      <c r="E24" s="2" t="s">
        <v>48</v>
      </c>
      <c r="F24" s="3">
        <v>7079998036</v>
      </c>
      <c r="G24" s="4" t="s">
        <v>48</v>
      </c>
      <c r="H24" s="1" t="s">
        <v>34</v>
      </c>
      <c r="I24" s="1">
        <v>979872</v>
      </c>
      <c r="J24" s="1" t="s">
        <v>48</v>
      </c>
      <c r="K24" s="1" t="s">
        <v>35</v>
      </c>
      <c r="L24" s="1" t="s">
        <v>961</v>
      </c>
      <c r="M24" s="1" t="s">
        <v>2</v>
      </c>
      <c r="N24" s="1" t="s">
        <v>3</v>
      </c>
      <c r="O24" s="1" t="s">
        <v>0</v>
      </c>
      <c r="Q24" s="1" t="s">
        <v>34</v>
      </c>
      <c r="R24" s="1" t="s">
        <v>34</v>
      </c>
      <c r="S24" s="1" t="s">
        <v>34</v>
      </c>
      <c r="T24" s="1" t="s">
        <v>36</v>
      </c>
      <c r="U24" s="1" t="s">
        <v>1213</v>
      </c>
      <c r="V24" s="1" t="s">
        <v>34</v>
      </c>
      <c r="W24" s="1" t="s">
        <v>90</v>
      </c>
      <c r="X24" s="1" t="s">
        <v>1121</v>
      </c>
    </row>
    <row r="25" spans="1:24" ht="60" x14ac:dyDescent="0.25">
      <c r="A25" s="1" t="s">
        <v>427</v>
      </c>
      <c r="B25" s="2" t="s">
        <v>378</v>
      </c>
      <c r="C25" s="2" t="s">
        <v>379</v>
      </c>
      <c r="D25" s="2" t="s">
        <v>48</v>
      </c>
      <c r="E25" s="2" t="s">
        <v>48</v>
      </c>
      <c r="F25" s="3">
        <v>3102664728</v>
      </c>
      <c r="G25" s="3">
        <v>8052728235</v>
      </c>
      <c r="H25" s="1" t="s">
        <v>34</v>
      </c>
      <c r="I25" s="1">
        <v>817191</v>
      </c>
      <c r="J25" s="1" t="s">
        <v>48</v>
      </c>
      <c r="K25" s="1" t="s">
        <v>35</v>
      </c>
      <c r="M25" s="1" t="s">
        <v>2</v>
      </c>
      <c r="O25" s="1" t="s">
        <v>0</v>
      </c>
      <c r="Q25" s="1" t="s">
        <v>34</v>
      </c>
      <c r="R25" s="1" t="s">
        <v>34</v>
      </c>
      <c r="S25" s="1" t="s">
        <v>34</v>
      </c>
      <c r="T25" s="1" t="s">
        <v>36</v>
      </c>
      <c r="U25" s="1" t="s">
        <v>1213</v>
      </c>
      <c r="V25" s="1" t="s">
        <v>34</v>
      </c>
      <c r="W25" s="1" t="s">
        <v>380</v>
      </c>
      <c r="X25" s="1" t="s">
        <v>1296</v>
      </c>
    </row>
    <row r="26" spans="1:24" ht="30" x14ac:dyDescent="0.25">
      <c r="A26" s="1" t="s">
        <v>915</v>
      </c>
      <c r="B26" s="2" t="s">
        <v>753</v>
      </c>
      <c r="C26" s="2" t="s">
        <v>991</v>
      </c>
      <c r="D26" s="2" t="s">
        <v>48</v>
      </c>
      <c r="E26" s="2" t="s">
        <v>48</v>
      </c>
      <c r="F26" s="3">
        <v>9162401962</v>
      </c>
      <c r="G26" s="4" t="s">
        <v>48</v>
      </c>
      <c r="H26" s="1" t="s">
        <v>34</v>
      </c>
      <c r="I26" s="1">
        <v>839729</v>
      </c>
      <c r="J26" s="1" t="s">
        <v>48</v>
      </c>
      <c r="K26" s="1" t="s">
        <v>35</v>
      </c>
      <c r="M26" s="1" t="s">
        <v>2</v>
      </c>
      <c r="O26" s="1" t="s">
        <v>0</v>
      </c>
      <c r="Q26" s="1" t="s">
        <v>36</v>
      </c>
      <c r="R26" s="1" t="s">
        <v>34</v>
      </c>
      <c r="S26" s="1" t="s">
        <v>34</v>
      </c>
      <c r="T26" s="1" t="s">
        <v>34</v>
      </c>
      <c r="U26" s="1" t="s">
        <v>754</v>
      </c>
      <c r="V26" s="1" t="s">
        <v>1210</v>
      </c>
      <c r="W26" s="1" t="s">
        <v>1213</v>
      </c>
      <c r="X26" s="1" t="s">
        <v>1213</v>
      </c>
    </row>
    <row r="27" spans="1:24" ht="60" x14ac:dyDescent="0.25">
      <c r="A27" s="1" t="s">
        <v>383</v>
      </c>
      <c r="B27" s="2" t="s">
        <v>384</v>
      </c>
      <c r="C27" s="2" t="s">
        <v>385</v>
      </c>
      <c r="D27" s="2" t="s">
        <v>48</v>
      </c>
      <c r="E27" s="2" t="s">
        <v>48</v>
      </c>
      <c r="F27" s="3">
        <v>7072724247</v>
      </c>
      <c r="G27" s="4" t="s">
        <v>48</v>
      </c>
      <c r="H27" s="1" t="s">
        <v>34</v>
      </c>
      <c r="I27" s="1">
        <v>820874</v>
      </c>
      <c r="J27" s="1" t="s">
        <v>48</v>
      </c>
      <c r="K27" s="1" t="s">
        <v>35</v>
      </c>
      <c r="L27" s="1" t="s">
        <v>961</v>
      </c>
      <c r="M27" s="1" t="s">
        <v>2</v>
      </c>
      <c r="N27" s="1" t="s">
        <v>3</v>
      </c>
      <c r="Q27" s="1" t="s">
        <v>34</v>
      </c>
      <c r="R27" s="1" t="s">
        <v>34</v>
      </c>
      <c r="S27" s="1" t="s">
        <v>34</v>
      </c>
      <c r="T27" s="1" t="s">
        <v>34</v>
      </c>
      <c r="U27" s="1" t="s">
        <v>386</v>
      </c>
      <c r="V27" s="1" t="s">
        <v>34</v>
      </c>
      <c r="W27" s="1" t="s">
        <v>387</v>
      </c>
      <c r="X27" s="1" t="s">
        <v>1213</v>
      </c>
    </row>
    <row r="28" spans="1:24" ht="30" x14ac:dyDescent="0.25">
      <c r="A28" s="1" t="s">
        <v>293</v>
      </c>
      <c r="B28" s="2" t="s">
        <v>294</v>
      </c>
      <c r="C28" s="2" t="s">
        <v>295</v>
      </c>
      <c r="D28" s="2" t="s">
        <v>48</v>
      </c>
      <c r="E28" s="2" t="s">
        <v>48</v>
      </c>
      <c r="F28" s="3">
        <v>8184843264</v>
      </c>
      <c r="G28" s="4" t="s">
        <v>48</v>
      </c>
      <c r="H28" s="1" t="s">
        <v>34</v>
      </c>
      <c r="I28" s="1">
        <v>901196</v>
      </c>
      <c r="J28" s="1" t="s">
        <v>48</v>
      </c>
      <c r="K28" s="1" t="s">
        <v>35</v>
      </c>
      <c r="L28" s="1" t="s">
        <v>961</v>
      </c>
      <c r="M28" s="1" t="s">
        <v>2</v>
      </c>
      <c r="N28" s="1" t="s">
        <v>3</v>
      </c>
      <c r="O28" s="1" t="s">
        <v>0</v>
      </c>
      <c r="P28" s="1" t="s">
        <v>1</v>
      </c>
      <c r="Q28" s="1" t="s">
        <v>34</v>
      </c>
      <c r="R28" s="1" t="s">
        <v>36</v>
      </c>
      <c r="S28" s="1" t="s">
        <v>34</v>
      </c>
      <c r="T28" s="1" t="s">
        <v>36</v>
      </c>
      <c r="U28" s="1" t="s">
        <v>1213</v>
      </c>
      <c r="V28" s="1" t="s">
        <v>1210</v>
      </c>
      <c r="W28" s="1" t="s">
        <v>1213</v>
      </c>
      <c r="X28" s="1" t="s">
        <v>1213</v>
      </c>
    </row>
    <row r="29" spans="1:24" ht="45" x14ac:dyDescent="0.25">
      <c r="A29" s="1" t="s">
        <v>401</v>
      </c>
      <c r="B29" s="2" t="s">
        <v>402</v>
      </c>
      <c r="C29" s="2" t="s">
        <v>403</v>
      </c>
      <c r="D29" s="2" t="s">
        <v>48</v>
      </c>
      <c r="E29" s="2" t="s">
        <v>48</v>
      </c>
      <c r="F29" s="3">
        <v>9168532700</v>
      </c>
      <c r="G29" s="4" t="s">
        <v>48</v>
      </c>
      <c r="H29" s="1" t="s">
        <v>34</v>
      </c>
      <c r="I29" s="1">
        <v>550110</v>
      </c>
      <c r="J29" s="1" t="s">
        <v>48</v>
      </c>
      <c r="L29" s="1" t="s">
        <v>44</v>
      </c>
      <c r="N29" s="1" t="s">
        <v>3</v>
      </c>
      <c r="Q29" s="1" t="s">
        <v>34</v>
      </c>
      <c r="R29" s="1" t="s">
        <v>34</v>
      </c>
      <c r="S29" s="1" t="s">
        <v>34</v>
      </c>
      <c r="T29" s="1" t="s">
        <v>34</v>
      </c>
      <c r="U29" s="1" t="s">
        <v>1213</v>
      </c>
      <c r="V29" s="1" t="s">
        <v>1210</v>
      </c>
      <c r="W29" s="1" t="s">
        <v>1213</v>
      </c>
      <c r="X29" s="1" t="s">
        <v>404</v>
      </c>
    </row>
    <row r="30" spans="1:24" ht="30" x14ac:dyDescent="0.25">
      <c r="A30" s="1" t="s">
        <v>471</v>
      </c>
      <c r="B30" s="2" t="s">
        <v>472</v>
      </c>
      <c r="C30" s="2" t="s">
        <v>473</v>
      </c>
      <c r="D30" s="2" t="s">
        <v>48</v>
      </c>
      <c r="E30" s="2" t="s">
        <v>48</v>
      </c>
      <c r="F30" s="3">
        <v>5303654180</v>
      </c>
      <c r="G30" s="4" t="s">
        <v>48</v>
      </c>
      <c r="H30" s="1" t="s">
        <v>34</v>
      </c>
      <c r="I30" s="1">
        <v>519561</v>
      </c>
      <c r="J30" s="1" t="s">
        <v>48</v>
      </c>
      <c r="K30" s="1" t="s">
        <v>35</v>
      </c>
      <c r="O30" s="1" t="s">
        <v>0</v>
      </c>
      <c r="Q30" s="1" t="s">
        <v>34</v>
      </c>
      <c r="R30" s="1" t="s">
        <v>36</v>
      </c>
      <c r="S30" s="1" t="s">
        <v>34</v>
      </c>
      <c r="T30" s="1" t="s">
        <v>36</v>
      </c>
      <c r="U30" s="1" t="s">
        <v>1213</v>
      </c>
      <c r="V30" s="1" t="s">
        <v>1210</v>
      </c>
      <c r="W30" s="1" t="s">
        <v>1213</v>
      </c>
      <c r="X30" s="1" t="s">
        <v>1073</v>
      </c>
    </row>
    <row r="31" spans="1:24" ht="150" x14ac:dyDescent="0.25">
      <c r="A31" s="1" t="s">
        <v>883</v>
      </c>
      <c r="B31" s="2" t="s">
        <v>668</v>
      </c>
      <c r="C31" s="2" t="s">
        <v>669</v>
      </c>
      <c r="D31" s="2" t="s">
        <v>48</v>
      </c>
      <c r="E31" s="2" t="s">
        <v>48</v>
      </c>
      <c r="F31" s="3">
        <v>7606905179</v>
      </c>
      <c r="G31" s="4" t="s">
        <v>48</v>
      </c>
      <c r="H31" s="1" t="s">
        <v>34</v>
      </c>
      <c r="I31" s="1">
        <v>161756</v>
      </c>
      <c r="J31" s="1" t="s">
        <v>48</v>
      </c>
      <c r="L31" s="1" t="s">
        <v>44</v>
      </c>
      <c r="N31" s="1" t="s">
        <v>3</v>
      </c>
      <c r="Q31" s="1" t="s">
        <v>34</v>
      </c>
      <c r="R31" s="1" t="s">
        <v>34</v>
      </c>
      <c r="S31" s="1" t="s">
        <v>34</v>
      </c>
      <c r="T31" s="1" t="s">
        <v>34</v>
      </c>
      <c r="U31" s="1" t="s">
        <v>1122</v>
      </c>
      <c r="V31" s="1" t="s">
        <v>34</v>
      </c>
      <c r="W31" s="1" t="s">
        <v>1124</v>
      </c>
      <c r="X31" s="1" t="s">
        <v>1123</v>
      </c>
    </row>
    <row r="32" spans="1:24" ht="30" x14ac:dyDescent="0.25">
      <c r="A32" s="1" t="s">
        <v>360</v>
      </c>
      <c r="B32" s="2" t="s">
        <v>361</v>
      </c>
      <c r="C32" s="2" t="s">
        <v>362</v>
      </c>
      <c r="D32" s="2" t="s">
        <v>48</v>
      </c>
      <c r="E32" s="2" t="s">
        <v>48</v>
      </c>
      <c r="F32" s="3">
        <v>7605466000</v>
      </c>
      <c r="G32" s="4" t="s">
        <v>48</v>
      </c>
      <c r="H32" s="1" t="s">
        <v>34</v>
      </c>
      <c r="I32" s="1">
        <v>858088</v>
      </c>
      <c r="J32" s="1" t="s">
        <v>48</v>
      </c>
      <c r="K32" s="1" t="s">
        <v>35</v>
      </c>
      <c r="L32" s="1" t="s">
        <v>961</v>
      </c>
      <c r="M32" s="1" t="s">
        <v>2</v>
      </c>
      <c r="N32" s="1" t="s">
        <v>3</v>
      </c>
      <c r="O32" s="1" t="s">
        <v>0</v>
      </c>
      <c r="Q32" s="1" t="s">
        <v>34</v>
      </c>
      <c r="R32" s="1" t="s">
        <v>36</v>
      </c>
      <c r="S32" s="1" t="s">
        <v>34</v>
      </c>
      <c r="T32" s="1" t="s">
        <v>36</v>
      </c>
      <c r="U32" s="1" t="s">
        <v>1213</v>
      </c>
      <c r="V32" s="1" t="s">
        <v>1210</v>
      </c>
      <c r="W32" s="1" t="s">
        <v>1213</v>
      </c>
      <c r="X32" s="1" t="s">
        <v>1213</v>
      </c>
    </row>
    <row r="33" spans="1:24" ht="90" x14ac:dyDescent="0.25">
      <c r="A33" s="1" t="s">
        <v>942</v>
      </c>
      <c r="B33" s="2" t="s">
        <v>812</v>
      </c>
      <c r="C33" s="2" t="s">
        <v>813</v>
      </c>
      <c r="D33" s="2" t="s">
        <v>48</v>
      </c>
      <c r="E33" s="2" t="s">
        <v>48</v>
      </c>
      <c r="F33" s="3">
        <v>9497935544</v>
      </c>
      <c r="G33" s="4" t="s">
        <v>48</v>
      </c>
      <c r="H33" s="1" t="s">
        <v>34</v>
      </c>
      <c r="I33" s="1">
        <v>963824</v>
      </c>
      <c r="J33" s="1" t="s">
        <v>48</v>
      </c>
      <c r="K33" s="1" t="s">
        <v>35</v>
      </c>
      <c r="L33" s="1" t="s">
        <v>961</v>
      </c>
      <c r="M33" s="1" t="s">
        <v>2</v>
      </c>
      <c r="N33" s="1" t="s">
        <v>3</v>
      </c>
      <c r="O33" s="1" t="s">
        <v>0</v>
      </c>
      <c r="P33" s="1" t="s">
        <v>1</v>
      </c>
      <c r="Q33" s="1" t="s">
        <v>36</v>
      </c>
      <c r="R33" s="1" t="s">
        <v>34</v>
      </c>
      <c r="S33" s="1" t="s">
        <v>34</v>
      </c>
      <c r="T33" s="1" t="s">
        <v>34</v>
      </c>
      <c r="U33" s="1" t="s">
        <v>970</v>
      </c>
      <c r="V33" s="1" t="s">
        <v>34</v>
      </c>
      <c r="W33" s="1" t="s">
        <v>992</v>
      </c>
      <c r="X33" s="1" t="s">
        <v>814</v>
      </c>
    </row>
    <row r="34" spans="1:24" ht="30" x14ac:dyDescent="0.25">
      <c r="A34" s="1" t="s">
        <v>366</v>
      </c>
      <c r="B34" s="2" t="s">
        <v>367</v>
      </c>
      <c r="C34" s="2" t="s">
        <v>368</v>
      </c>
      <c r="D34" s="2" t="s">
        <v>48</v>
      </c>
      <c r="E34" s="2" t="s">
        <v>48</v>
      </c>
      <c r="F34" s="3">
        <v>7609140564</v>
      </c>
      <c r="G34" s="4" t="s">
        <v>48</v>
      </c>
      <c r="H34" s="1" t="s">
        <v>34</v>
      </c>
      <c r="I34" s="1">
        <v>609462</v>
      </c>
      <c r="J34" s="1" t="s">
        <v>48</v>
      </c>
      <c r="K34" s="1" t="s">
        <v>35</v>
      </c>
      <c r="L34" s="1" t="s">
        <v>961</v>
      </c>
      <c r="M34" s="1" t="s">
        <v>2</v>
      </c>
      <c r="O34" s="1" t="s">
        <v>0</v>
      </c>
      <c r="Q34" s="1" t="s">
        <v>34</v>
      </c>
      <c r="R34" s="1" t="s">
        <v>34</v>
      </c>
      <c r="S34" s="1" t="s">
        <v>34</v>
      </c>
      <c r="T34" s="1" t="s">
        <v>36</v>
      </c>
      <c r="U34" s="1" t="s">
        <v>1213</v>
      </c>
      <c r="V34" s="1" t="s">
        <v>34</v>
      </c>
      <c r="W34" s="1" t="s">
        <v>993</v>
      </c>
      <c r="X34" s="1" t="s">
        <v>369</v>
      </c>
    </row>
    <row r="35" spans="1:24" ht="30" x14ac:dyDescent="0.25">
      <c r="A35" s="1" t="s">
        <v>553</v>
      </c>
      <c r="B35" s="2" t="s">
        <v>554</v>
      </c>
      <c r="C35" s="2" t="s">
        <v>555</v>
      </c>
      <c r="D35" s="2" t="s">
        <v>48</v>
      </c>
      <c r="E35" s="2" t="s">
        <v>48</v>
      </c>
      <c r="F35" s="3">
        <v>9514400583</v>
      </c>
      <c r="G35" s="4" t="s">
        <v>48</v>
      </c>
      <c r="H35" s="1" t="s">
        <v>34</v>
      </c>
      <c r="I35" s="1">
        <v>915397</v>
      </c>
      <c r="J35" s="1" t="s">
        <v>48</v>
      </c>
      <c r="K35" s="1" t="s">
        <v>35</v>
      </c>
      <c r="M35" s="1" t="s">
        <v>2</v>
      </c>
      <c r="O35" s="1" t="s">
        <v>0</v>
      </c>
      <c r="Q35" s="1" t="s">
        <v>34</v>
      </c>
      <c r="R35" s="1" t="s">
        <v>34</v>
      </c>
      <c r="S35" s="1" t="s">
        <v>34</v>
      </c>
      <c r="T35" s="1" t="s">
        <v>36</v>
      </c>
      <c r="U35" s="1" t="s">
        <v>1213</v>
      </c>
      <c r="V35" s="1" t="s">
        <v>1210</v>
      </c>
      <c r="W35" s="1" t="s">
        <v>1213</v>
      </c>
      <c r="X35" s="1" t="s">
        <v>1213</v>
      </c>
    </row>
    <row r="36" spans="1:24" ht="75" x14ac:dyDescent="0.25">
      <c r="A36" s="1" t="s">
        <v>943</v>
      </c>
      <c r="B36" s="2" t="s">
        <v>815</v>
      </c>
      <c r="C36" s="2" t="s">
        <v>816</v>
      </c>
      <c r="D36" s="2" t="s">
        <v>48</v>
      </c>
      <c r="E36" s="2" t="s">
        <v>48</v>
      </c>
      <c r="F36" s="3">
        <v>8669774296</v>
      </c>
      <c r="G36" s="4" t="s">
        <v>957</v>
      </c>
      <c r="H36" s="1" t="s">
        <v>34</v>
      </c>
      <c r="I36" s="1">
        <v>831865</v>
      </c>
      <c r="J36" s="1" t="s">
        <v>48</v>
      </c>
      <c r="K36" s="1" t="s">
        <v>35</v>
      </c>
      <c r="L36" s="1" t="s">
        <v>961</v>
      </c>
      <c r="M36" s="1" t="s">
        <v>2</v>
      </c>
      <c r="N36" s="1" t="s">
        <v>3</v>
      </c>
      <c r="O36" s="1" t="s">
        <v>0</v>
      </c>
      <c r="P36" s="1" t="s">
        <v>1</v>
      </c>
      <c r="Q36" s="1" t="s">
        <v>36</v>
      </c>
      <c r="R36" s="1" t="s">
        <v>34</v>
      </c>
      <c r="S36" s="1" t="s">
        <v>34</v>
      </c>
      <c r="T36" s="1" t="s">
        <v>36</v>
      </c>
      <c r="U36" s="1" t="s">
        <v>1213</v>
      </c>
      <c r="V36" s="1" t="s">
        <v>34</v>
      </c>
      <c r="W36" s="1" t="s">
        <v>1126</v>
      </c>
      <c r="X36" s="1" t="s">
        <v>1125</v>
      </c>
    </row>
    <row r="37" spans="1:24" ht="45" x14ac:dyDescent="0.25">
      <c r="A37" s="1" t="s">
        <v>1232</v>
      </c>
      <c r="B37" s="2" t="s">
        <v>709</v>
      </c>
      <c r="C37" s="2" t="s">
        <v>710</v>
      </c>
      <c r="D37" s="2" t="s">
        <v>48</v>
      </c>
      <c r="E37" s="2" t="s">
        <v>48</v>
      </c>
      <c r="F37" s="3">
        <v>3104222908</v>
      </c>
      <c r="G37" s="4" t="s">
        <v>48</v>
      </c>
      <c r="H37" s="1" t="s">
        <v>34</v>
      </c>
      <c r="I37" s="1">
        <v>632049</v>
      </c>
      <c r="J37" s="1" t="s">
        <v>48</v>
      </c>
      <c r="K37" s="1" t="s">
        <v>35</v>
      </c>
      <c r="L37" s="1" t="s">
        <v>961</v>
      </c>
      <c r="M37" s="1" t="s">
        <v>2</v>
      </c>
      <c r="N37" s="1" t="s">
        <v>3</v>
      </c>
      <c r="O37" s="1" t="s">
        <v>0</v>
      </c>
      <c r="Q37" s="1" t="s">
        <v>36</v>
      </c>
      <c r="R37" s="1" t="s">
        <v>36</v>
      </c>
      <c r="S37" s="1" t="s">
        <v>36</v>
      </c>
      <c r="T37" s="1" t="s">
        <v>36</v>
      </c>
      <c r="U37" s="1" t="s">
        <v>1213</v>
      </c>
      <c r="V37" s="1" t="s">
        <v>34</v>
      </c>
      <c r="W37" s="1" t="s">
        <v>711</v>
      </c>
      <c r="X37" s="1" t="s">
        <v>1074</v>
      </c>
    </row>
    <row r="38" spans="1:24" ht="30" x14ac:dyDescent="0.25">
      <c r="A38" s="1" t="s">
        <v>928</v>
      </c>
      <c r="B38" s="2" t="s">
        <v>778</v>
      </c>
      <c r="C38" s="2" t="s">
        <v>779</v>
      </c>
      <c r="D38" s="2" t="s">
        <v>48</v>
      </c>
      <c r="E38" s="2" t="s">
        <v>48</v>
      </c>
      <c r="F38" s="3">
        <v>8313204890</v>
      </c>
      <c r="G38" s="4" t="s">
        <v>48</v>
      </c>
      <c r="H38" s="1" t="s">
        <v>34</v>
      </c>
      <c r="I38" s="1">
        <v>996617</v>
      </c>
      <c r="J38" s="1" t="s">
        <v>48</v>
      </c>
      <c r="K38" s="1" t="s">
        <v>35</v>
      </c>
      <c r="L38" s="1" t="s">
        <v>961</v>
      </c>
      <c r="M38" s="1" t="s">
        <v>2</v>
      </c>
      <c r="O38" s="1" t="s">
        <v>0</v>
      </c>
      <c r="Q38" s="1" t="s">
        <v>34</v>
      </c>
      <c r="R38" s="1" t="s">
        <v>34</v>
      </c>
      <c r="S38" s="1" t="s">
        <v>34</v>
      </c>
      <c r="T38" s="1" t="s">
        <v>34</v>
      </c>
      <c r="U38" s="1" t="s">
        <v>1127</v>
      </c>
      <c r="V38" s="1" t="s">
        <v>1210</v>
      </c>
      <c r="W38" s="1" t="s">
        <v>1213</v>
      </c>
      <c r="X38" s="1" t="s">
        <v>994</v>
      </c>
    </row>
    <row r="39" spans="1:24" x14ac:dyDescent="0.25">
      <c r="A39" s="1" t="s">
        <v>549</v>
      </c>
      <c r="B39" s="2" t="s">
        <v>550</v>
      </c>
      <c r="C39" s="2" t="s">
        <v>551</v>
      </c>
      <c r="D39" s="2" t="s">
        <v>48</v>
      </c>
      <c r="E39" s="2" t="s">
        <v>48</v>
      </c>
      <c r="F39" s="3">
        <v>9084893933</v>
      </c>
      <c r="G39" s="4" t="s">
        <v>48</v>
      </c>
      <c r="H39" s="1" t="s">
        <v>34</v>
      </c>
      <c r="I39" s="1">
        <v>1029267</v>
      </c>
      <c r="J39" s="1" t="s">
        <v>48</v>
      </c>
      <c r="Q39" s="1" t="s">
        <v>36</v>
      </c>
      <c r="R39" s="1" t="s">
        <v>36</v>
      </c>
      <c r="S39" s="1" t="s">
        <v>36</v>
      </c>
      <c r="T39" s="1" t="s">
        <v>36</v>
      </c>
      <c r="U39" s="1" t="s">
        <v>1213</v>
      </c>
      <c r="V39" s="1" t="s">
        <v>1210</v>
      </c>
      <c r="W39" s="1" t="s">
        <v>1213</v>
      </c>
      <c r="X39" s="1" t="s">
        <v>552</v>
      </c>
    </row>
    <row r="40" spans="1:24" ht="30" x14ac:dyDescent="0.25">
      <c r="A40" s="1" t="s">
        <v>202</v>
      </c>
      <c r="B40" s="2" t="s">
        <v>203</v>
      </c>
      <c r="C40" s="2" t="s">
        <v>204</v>
      </c>
      <c r="D40" s="2" t="s">
        <v>48</v>
      </c>
      <c r="E40" s="2" t="s">
        <v>48</v>
      </c>
      <c r="F40" s="3">
        <v>4153630101</v>
      </c>
      <c r="G40" s="4" t="s">
        <v>48</v>
      </c>
      <c r="H40" s="1" t="s">
        <v>34</v>
      </c>
      <c r="I40" s="1">
        <v>1014967</v>
      </c>
      <c r="J40" s="1" t="s">
        <v>48</v>
      </c>
      <c r="K40" s="1" t="s">
        <v>35</v>
      </c>
      <c r="O40" s="1" t="s">
        <v>0</v>
      </c>
      <c r="Q40" s="1" t="s">
        <v>34</v>
      </c>
      <c r="R40" s="1" t="s">
        <v>36</v>
      </c>
      <c r="S40" s="1" t="s">
        <v>34</v>
      </c>
      <c r="T40" s="1" t="s">
        <v>34</v>
      </c>
      <c r="U40" s="1">
        <v>1</v>
      </c>
      <c r="V40" s="1" t="s">
        <v>1210</v>
      </c>
      <c r="W40" s="1" t="s">
        <v>1213</v>
      </c>
      <c r="X40" s="1">
        <v>1</v>
      </c>
    </row>
    <row r="41" spans="1:24" ht="30" x14ac:dyDescent="0.25">
      <c r="A41" s="1" t="s">
        <v>851</v>
      </c>
      <c r="B41" s="2" t="s">
        <v>570</v>
      </c>
      <c r="C41" s="2" t="s">
        <v>571</v>
      </c>
      <c r="D41" s="2" t="s">
        <v>48</v>
      </c>
      <c r="E41" s="2" t="s">
        <v>48</v>
      </c>
      <c r="F41" s="3">
        <v>8057083654</v>
      </c>
      <c r="G41" s="4" t="s">
        <v>48</v>
      </c>
      <c r="H41" s="1" t="s">
        <v>34</v>
      </c>
      <c r="I41" s="1">
        <v>1009246</v>
      </c>
      <c r="J41" s="1" t="s">
        <v>48</v>
      </c>
      <c r="K41" s="1" t="s">
        <v>35</v>
      </c>
      <c r="L41" s="1" t="s">
        <v>961</v>
      </c>
      <c r="M41" s="1" t="s">
        <v>2</v>
      </c>
      <c r="O41" s="1" t="s">
        <v>0</v>
      </c>
      <c r="Q41" s="1" t="s">
        <v>36</v>
      </c>
      <c r="R41" s="1" t="s">
        <v>36</v>
      </c>
      <c r="S41" s="1" t="s">
        <v>34</v>
      </c>
      <c r="T41" s="1" t="s">
        <v>36</v>
      </c>
      <c r="U41" s="1" t="s">
        <v>1213</v>
      </c>
      <c r="V41" s="1" t="s">
        <v>1210</v>
      </c>
      <c r="W41" s="1" t="s">
        <v>1213</v>
      </c>
      <c r="X41" s="1" t="s">
        <v>1213</v>
      </c>
    </row>
    <row r="42" spans="1:24" ht="30" x14ac:dyDescent="0.25">
      <c r="A42" s="1" t="s">
        <v>882</v>
      </c>
      <c r="B42" s="5" t="s">
        <v>821</v>
      </c>
      <c r="C42" s="2" t="s">
        <v>666</v>
      </c>
      <c r="D42" s="2" t="s">
        <v>48</v>
      </c>
      <c r="E42" s="2" t="s">
        <v>48</v>
      </c>
      <c r="F42" s="3">
        <v>8009775323</v>
      </c>
      <c r="G42" s="4">
        <v>5302728277</v>
      </c>
      <c r="H42" s="1" t="s">
        <v>34</v>
      </c>
      <c r="I42" s="1">
        <v>518784</v>
      </c>
      <c r="J42" s="1" t="s">
        <v>48</v>
      </c>
      <c r="K42" s="1" t="s">
        <v>35</v>
      </c>
      <c r="L42" s="1" t="s">
        <v>961</v>
      </c>
      <c r="M42" s="1" t="s">
        <v>2</v>
      </c>
      <c r="N42" s="1" t="s">
        <v>3</v>
      </c>
      <c r="O42" s="1" t="s">
        <v>0</v>
      </c>
      <c r="Q42" s="1" t="s">
        <v>34</v>
      </c>
      <c r="R42" s="1" t="s">
        <v>34</v>
      </c>
      <c r="S42" s="1" t="s">
        <v>34</v>
      </c>
      <c r="T42" s="1" t="s">
        <v>34</v>
      </c>
      <c r="U42" s="1" t="s">
        <v>667</v>
      </c>
      <c r="V42" s="1" t="s">
        <v>1210</v>
      </c>
      <c r="W42" s="1" t="s">
        <v>1213</v>
      </c>
      <c r="X42" s="1" t="s">
        <v>1075</v>
      </c>
    </row>
    <row r="43" spans="1:24" ht="135" x14ac:dyDescent="0.25">
      <c r="A43" s="1" t="s">
        <v>217</v>
      </c>
      <c r="B43" s="2" t="s">
        <v>218</v>
      </c>
      <c r="C43" s="2" t="s">
        <v>219</v>
      </c>
      <c r="D43" s="2" t="s">
        <v>48</v>
      </c>
      <c r="E43" s="2" t="s">
        <v>48</v>
      </c>
      <c r="F43" s="3">
        <v>5596679200</v>
      </c>
      <c r="G43" s="4" t="s">
        <v>48</v>
      </c>
      <c r="H43" s="1" t="s">
        <v>34</v>
      </c>
      <c r="I43" s="1">
        <v>986500</v>
      </c>
      <c r="J43" s="1" t="s">
        <v>48</v>
      </c>
      <c r="K43" s="1" t="s">
        <v>35</v>
      </c>
      <c r="M43" s="1" t="s">
        <v>2</v>
      </c>
      <c r="O43" s="1" t="s">
        <v>0</v>
      </c>
      <c r="P43" s="1" t="s">
        <v>1</v>
      </c>
      <c r="Q43" s="1" t="s">
        <v>34</v>
      </c>
      <c r="R43" s="1" t="s">
        <v>36</v>
      </c>
      <c r="S43" s="1" t="s">
        <v>34</v>
      </c>
      <c r="T43" s="1" t="s">
        <v>36</v>
      </c>
      <c r="U43" s="1" t="s">
        <v>1213</v>
      </c>
      <c r="V43" s="1" t="s">
        <v>34</v>
      </c>
      <c r="W43" s="1" t="s">
        <v>1128</v>
      </c>
      <c r="X43" s="1" t="s">
        <v>1076</v>
      </c>
    </row>
    <row r="44" spans="1:24" ht="30" x14ac:dyDescent="0.25">
      <c r="A44" s="1" t="s">
        <v>463</v>
      </c>
      <c r="B44" s="2" t="s">
        <v>995</v>
      </c>
      <c r="C44" s="2" t="s">
        <v>996</v>
      </c>
      <c r="D44" s="2" t="s">
        <v>48</v>
      </c>
      <c r="E44" s="2" t="s">
        <v>48</v>
      </c>
      <c r="F44" s="3">
        <v>8056891479</v>
      </c>
      <c r="G44" s="4" t="s">
        <v>48</v>
      </c>
      <c r="H44" s="1" t="s">
        <v>34</v>
      </c>
      <c r="I44" s="1">
        <v>486924</v>
      </c>
      <c r="J44" s="1" t="s">
        <v>48</v>
      </c>
      <c r="K44" s="1" t="s">
        <v>35</v>
      </c>
      <c r="M44" s="1" t="s">
        <v>2</v>
      </c>
      <c r="N44" s="1" t="s">
        <v>3</v>
      </c>
      <c r="O44" s="1" t="s">
        <v>0</v>
      </c>
      <c r="Q44" s="1" t="s">
        <v>34</v>
      </c>
      <c r="R44" s="1" t="s">
        <v>34</v>
      </c>
      <c r="S44" s="1" t="s">
        <v>34</v>
      </c>
      <c r="T44" s="1" t="s">
        <v>34</v>
      </c>
      <c r="U44" s="1" t="s">
        <v>464</v>
      </c>
      <c r="V44" s="1" t="s">
        <v>1210</v>
      </c>
      <c r="W44" s="1" t="s">
        <v>1213</v>
      </c>
      <c r="X44" s="1" t="s">
        <v>1213</v>
      </c>
    </row>
    <row r="45" spans="1:24" ht="45" x14ac:dyDescent="0.25">
      <c r="A45" s="1" t="s">
        <v>505</v>
      </c>
      <c r="B45" s="5" t="s">
        <v>506</v>
      </c>
      <c r="C45" s="2" t="s">
        <v>507</v>
      </c>
      <c r="D45" s="2" t="s">
        <v>997</v>
      </c>
      <c r="E45" s="2" t="s">
        <v>48</v>
      </c>
      <c r="F45" s="3">
        <v>5302743671</v>
      </c>
      <c r="G45" s="4" t="s">
        <v>48</v>
      </c>
      <c r="H45" s="1" t="s">
        <v>34</v>
      </c>
      <c r="I45" s="1">
        <v>779624</v>
      </c>
      <c r="J45" s="1" t="s">
        <v>48</v>
      </c>
      <c r="K45" s="1" t="s">
        <v>35</v>
      </c>
      <c r="L45" s="1" t="s">
        <v>961</v>
      </c>
      <c r="M45" s="1" t="s">
        <v>2</v>
      </c>
      <c r="N45" s="1" t="s">
        <v>3</v>
      </c>
      <c r="O45" s="1" t="s">
        <v>0</v>
      </c>
      <c r="P45" s="1" t="s">
        <v>1</v>
      </c>
      <c r="Q45" s="1" t="s">
        <v>34</v>
      </c>
      <c r="R45" s="1" t="s">
        <v>34</v>
      </c>
      <c r="S45" s="1" t="s">
        <v>34</v>
      </c>
      <c r="T45" s="1" t="s">
        <v>34</v>
      </c>
      <c r="U45" s="1" t="s">
        <v>508</v>
      </c>
      <c r="V45" s="1" t="s">
        <v>34</v>
      </c>
      <c r="W45" s="1" t="s">
        <v>510</v>
      </c>
      <c r="X45" s="1" t="s">
        <v>509</v>
      </c>
    </row>
    <row r="46" spans="1:24" ht="60" x14ac:dyDescent="0.25">
      <c r="A46" s="1" t="s">
        <v>497</v>
      </c>
      <c r="B46" s="2" t="s">
        <v>498</v>
      </c>
      <c r="C46" s="2" t="s">
        <v>499</v>
      </c>
      <c r="D46" s="2" t="s">
        <v>48</v>
      </c>
      <c r="E46" s="2" t="s">
        <v>48</v>
      </c>
      <c r="F46" s="3">
        <v>8007847612</v>
      </c>
      <c r="G46" s="4" t="s">
        <v>48</v>
      </c>
      <c r="H46" s="1" t="s">
        <v>34</v>
      </c>
      <c r="I46" s="1">
        <v>1004246</v>
      </c>
      <c r="J46" s="1" t="s">
        <v>48</v>
      </c>
      <c r="K46" s="1" t="s">
        <v>35</v>
      </c>
      <c r="O46" s="1" t="s">
        <v>0</v>
      </c>
      <c r="P46" s="1" t="s">
        <v>1</v>
      </c>
      <c r="Q46" s="1" t="s">
        <v>34</v>
      </c>
      <c r="R46" s="1" t="s">
        <v>34</v>
      </c>
      <c r="S46" s="1" t="s">
        <v>34</v>
      </c>
      <c r="T46" s="1" t="s">
        <v>34</v>
      </c>
      <c r="U46" s="1" t="s">
        <v>1129</v>
      </c>
      <c r="V46" s="1" t="s">
        <v>34</v>
      </c>
      <c r="W46" s="1" t="s">
        <v>500</v>
      </c>
      <c r="X46" s="1" t="s">
        <v>998</v>
      </c>
    </row>
    <row r="47" spans="1:24" ht="75" x14ac:dyDescent="0.25">
      <c r="A47" s="1" t="s">
        <v>1231</v>
      </c>
      <c r="B47" s="2" t="s">
        <v>733</v>
      </c>
      <c r="C47" s="2" t="s">
        <v>999</v>
      </c>
      <c r="D47" s="2" t="s">
        <v>48</v>
      </c>
      <c r="E47" s="2" t="s">
        <v>48</v>
      </c>
      <c r="F47" s="3">
        <v>8557758775</v>
      </c>
      <c r="G47" s="4" t="s">
        <v>48</v>
      </c>
      <c r="H47" s="1" t="s">
        <v>34</v>
      </c>
      <c r="I47" s="1">
        <v>1049108</v>
      </c>
      <c r="J47" s="1" t="s">
        <v>48</v>
      </c>
      <c r="K47" s="1" t="s">
        <v>35</v>
      </c>
      <c r="M47" s="1" t="s">
        <v>2</v>
      </c>
      <c r="O47" s="1" t="s">
        <v>0</v>
      </c>
      <c r="Q47" s="1" t="s">
        <v>34</v>
      </c>
      <c r="R47" s="1" t="s">
        <v>34</v>
      </c>
      <c r="S47" s="1" t="s">
        <v>34</v>
      </c>
      <c r="T47" s="1" t="s">
        <v>34</v>
      </c>
      <c r="U47" s="1" t="s">
        <v>1130</v>
      </c>
      <c r="V47" s="1" t="s">
        <v>1210</v>
      </c>
      <c r="W47" s="1" t="s">
        <v>1213</v>
      </c>
      <c r="X47" s="1" t="s">
        <v>1109</v>
      </c>
    </row>
    <row r="48" spans="1:24" ht="60" x14ac:dyDescent="0.25">
      <c r="A48" s="1" t="s">
        <v>926</v>
      </c>
      <c r="B48" s="2" t="s">
        <v>772</v>
      </c>
      <c r="C48" s="2" t="s">
        <v>773</v>
      </c>
      <c r="D48" s="2" t="s">
        <v>48</v>
      </c>
      <c r="E48" s="2" t="s">
        <v>48</v>
      </c>
      <c r="F48" s="3">
        <v>8052390111</v>
      </c>
      <c r="G48" s="4" t="s">
        <v>48</v>
      </c>
      <c r="H48" s="1" t="s">
        <v>34</v>
      </c>
      <c r="I48" s="1">
        <v>993428</v>
      </c>
      <c r="J48" s="1" t="s">
        <v>48</v>
      </c>
      <c r="K48" s="1" t="s">
        <v>35</v>
      </c>
      <c r="L48" s="1" t="s">
        <v>961</v>
      </c>
      <c r="M48" s="1" t="s">
        <v>2</v>
      </c>
      <c r="N48" s="1" t="s">
        <v>3</v>
      </c>
      <c r="O48" s="1" t="s">
        <v>0</v>
      </c>
      <c r="Q48" s="1" t="s">
        <v>36</v>
      </c>
      <c r="R48" s="1" t="s">
        <v>34</v>
      </c>
      <c r="S48" s="1" t="s">
        <v>34</v>
      </c>
      <c r="T48" s="1" t="s">
        <v>34</v>
      </c>
      <c r="U48" s="1" t="s">
        <v>1131</v>
      </c>
      <c r="V48" s="1" t="s">
        <v>34</v>
      </c>
      <c r="W48" s="1" t="s">
        <v>774</v>
      </c>
      <c r="X48" s="1" t="s">
        <v>1132</v>
      </c>
    </row>
    <row r="49" spans="1:24" ht="30" x14ac:dyDescent="0.25">
      <c r="A49" s="1" t="s">
        <v>923</v>
      </c>
      <c r="B49" s="5" t="s">
        <v>924</v>
      </c>
      <c r="C49" s="2" t="s">
        <v>768</v>
      </c>
      <c r="D49" s="2" t="s">
        <v>48</v>
      </c>
      <c r="E49" s="2" t="s">
        <v>48</v>
      </c>
      <c r="F49" s="3">
        <v>9167823333</v>
      </c>
      <c r="G49" s="4" t="s">
        <v>48</v>
      </c>
      <c r="H49" s="1" t="s">
        <v>34</v>
      </c>
      <c r="I49" s="1">
        <v>1018035</v>
      </c>
      <c r="J49" s="1" t="s">
        <v>48</v>
      </c>
      <c r="K49" s="1" t="s">
        <v>35</v>
      </c>
      <c r="L49" s="1" t="s">
        <v>961</v>
      </c>
      <c r="M49" s="1" t="s">
        <v>2</v>
      </c>
      <c r="N49" s="1" t="s">
        <v>3</v>
      </c>
      <c r="O49" s="1" t="s">
        <v>0</v>
      </c>
      <c r="P49" s="1" t="s">
        <v>1</v>
      </c>
      <c r="Q49" s="1" t="s">
        <v>34</v>
      </c>
      <c r="R49" s="1" t="s">
        <v>34</v>
      </c>
      <c r="S49" s="1" t="s">
        <v>34</v>
      </c>
      <c r="T49" s="1" t="s">
        <v>34</v>
      </c>
      <c r="U49" s="1" t="s">
        <v>769</v>
      </c>
      <c r="V49" s="1" t="s">
        <v>1210</v>
      </c>
      <c r="W49" s="1" t="s">
        <v>1213</v>
      </c>
      <c r="X49" s="1" t="s">
        <v>1213</v>
      </c>
    </row>
    <row r="50" spans="1:24" ht="30" x14ac:dyDescent="0.25">
      <c r="A50" s="1" t="s">
        <v>60</v>
      </c>
      <c r="B50" s="2" t="s">
        <v>61</v>
      </c>
      <c r="C50" s="2" t="s">
        <v>62</v>
      </c>
      <c r="D50" s="2" t="s">
        <v>48</v>
      </c>
      <c r="E50" s="2" t="s">
        <v>48</v>
      </c>
      <c r="F50" s="3">
        <v>4088447149</v>
      </c>
      <c r="G50" s="4" t="s">
        <v>48</v>
      </c>
      <c r="H50" s="1" t="s">
        <v>34</v>
      </c>
      <c r="I50" s="1">
        <v>913360</v>
      </c>
      <c r="J50" s="1" t="s">
        <v>48</v>
      </c>
      <c r="K50" s="1" t="s">
        <v>35</v>
      </c>
      <c r="L50" s="1" t="s">
        <v>961</v>
      </c>
      <c r="M50" s="1" t="s">
        <v>2</v>
      </c>
      <c r="N50" s="1" t="s">
        <v>3</v>
      </c>
      <c r="O50" s="1" t="s">
        <v>0</v>
      </c>
      <c r="P50" s="1" t="s">
        <v>1</v>
      </c>
      <c r="Q50" s="1" t="s">
        <v>34</v>
      </c>
      <c r="R50" s="1" t="s">
        <v>34</v>
      </c>
      <c r="S50" s="1" t="s">
        <v>34</v>
      </c>
      <c r="T50" s="1" t="s">
        <v>36</v>
      </c>
      <c r="U50" s="1" t="s">
        <v>1213</v>
      </c>
      <c r="V50" s="1" t="s">
        <v>1210</v>
      </c>
      <c r="W50" s="1" t="s">
        <v>1213</v>
      </c>
      <c r="X50" s="1" t="s">
        <v>1213</v>
      </c>
    </row>
    <row r="51" spans="1:24" ht="30" x14ac:dyDescent="0.25">
      <c r="A51" s="1" t="s">
        <v>205</v>
      </c>
      <c r="B51" s="2" t="s">
        <v>206</v>
      </c>
      <c r="C51" s="2" t="s">
        <v>207</v>
      </c>
      <c r="D51" s="2" t="s">
        <v>48</v>
      </c>
      <c r="E51" s="2" t="s">
        <v>48</v>
      </c>
      <c r="F51" s="3">
        <v>5308911933</v>
      </c>
      <c r="G51" s="4" t="s">
        <v>48</v>
      </c>
      <c r="H51" s="1" t="s">
        <v>34</v>
      </c>
      <c r="I51" s="1">
        <v>454345</v>
      </c>
      <c r="J51" s="1" t="s">
        <v>48</v>
      </c>
      <c r="L51" s="1" t="s">
        <v>44</v>
      </c>
      <c r="N51" s="1" t="s">
        <v>3</v>
      </c>
      <c r="Q51" s="1" t="s">
        <v>34</v>
      </c>
      <c r="R51" s="1" t="s">
        <v>34</v>
      </c>
      <c r="S51" s="1" t="s">
        <v>34</v>
      </c>
      <c r="T51" s="1" t="s">
        <v>36</v>
      </c>
      <c r="U51" s="1" t="s">
        <v>1213</v>
      </c>
      <c r="V51" s="1" t="s">
        <v>1210</v>
      </c>
      <c r="W51" s="1" t="s">
        <v>1213</v>
      </c>
      <c r="X51" s="1" t="s">
        <v>1213</v>
      </c>
    </row>
    <row r="52" spans="1:24" ht="30" x14ac:dyDescent="0.25">
      <c r="A52" s="1" t="s">
        <v>1230</v>
      </c>
      <c r="B52" s="2" t="s">
        <v>1000</v>
      </c>
      <c r="C52" s="2" t="s">
        <v>1001</v>
      </c>
      <c r="D52" s="2" t="s">
        <v>48</v>
      </c>
      <c r="E52" s="2" t="s">
        <v>48</v>
      </c>
      <c r="F52" s="3">
        <v>4088837000</v>
      </c>
      <c r="G52" s="4" t="s">
        <v>48</v>
      </c>
      <c r="H52" s="1" t="s">
        <v>34</v>
      </c>
      <c r="I52" s="1">
        <v>976065</v>
      </c>
      <c r="J52" s="1" t="s">
        <v>48</v>
      </c>
      <c r="K52" s="1" t="s">
        <v>35</v>
      </c>
      <c r="L52" s="1" t="s">
        <v>961</v>
      </c>
      <c r="M52" s="1" t="s">
        <v>2</v>
      </c>
      <c r="N52" s="1" t="s">
        <v>3</v>
      </c>
      <c r="O52" s="1" t="s">
        <v>0</v>
      </c>
      <c r="Q52" s="1" t="s">
        <v>34</v>
      </c>
      <c r="R52" s="1" t="s">
        <v>34</v>
      </c>
      <c r="S52" s="1" t="s">
        <v>34</v>
      </c>
      <c r="T52" s="1" t="s">
        <v>34</v>
      </c>
      <c r="U52" s="1" t="s">
        <v>971</v>
      </c>
      <c r="V52" s="1" t="s">
        <v>34</v>
      </c>
      <c r="W52" s="1" t="s">
        <v>822</v>
      </c>
      <c r="X52" s="1" t="s">
        <v>1213</v>
      </c>
    </row>
    <row r="53" spans="1:24" ht="30" x14ac:dyDescent="0.25">
      <c r="A53" s="1" t="s">
        <v>199</v>
      </c>
      <c r="B53" s="2" t="s">
        <v>200</v>
      </c>
      <c r="C53" s="2" t="s">
        <v>201</v>
      </c>
      <c r="D53" s="2" t="s">
        <v>48</v>
      </c>
      <c r="E53" s="2" t="s">
        <v>48</v>
      </c>
      <c r="F53" s="3">
        <v>7074465500</v>
      </c>
      <c r="G53" s="4" t="s">
        <v>48</v>
      </c>
      <c r="H53" s="1" t="s">
        <v>34</v>
      </c>
      <c r="I53" s="1">
        <v>647149</v>
      </c>
      <c r="J53" s="1" t="s">
        <v>48</v>
      </c>
      <c r="K53" s="1" t="s">
        <v>35</v>
      </c>
      <c r="L53" s="1" t="s">
        <v>961</v>
      </c>
      <c r="M53" s="1" t="s">
        <v>2</v>
      </c>
      <c r="N53" s="1" t="s">
        <v>3</v>
      </c>
      <c r="O53" s="1" t="s">
        <v>0</v>
      </c>
      <c r="Q53" s="1" t="s">
        <v>34</v>
      </c>
      <c r="R53" s="1" t="s">
        <v>34</v>
      </c>
      <c r="S53" s="1" t="s">
        <v>34</v>
      </c>
      <c r="T53" s="1" t="s">
        <v>36</v>
      </c>
      <c r="U53" s="1" t="s">
        <v>1213</v>
      </c>
      <c r="V53" s="1" t="s">
        <v>1210</v>
      </c>
      <c r="W53" s="1" t="s">
        <v>1213</v>
      </c>
      <c r="X53" s="1" t="s">
        <v>1213</v>
      </c>
    </row>
    <row r="54" spans="1:24" ht="45" x14ac:dyDescent="0.25">
      <c r="A54" s="1" t="s">
        <v>865</v>
      </c>
      <c r="B54" s="2" t="s">
        <v>1002</v>
      </c>
      <c r="C54" s="2" t="s">
        <v>1003</v>
      </c>
      <c r="D54" s="2" t="s">
        <v>48</v>
      </c>
      <c r="E54" s="2" t="s">
        <v>48</v>
      </c>
      <c r="F54" s="3">
        <v>4157295575</v>
      </c>
      <c r="G54" s="4" t="s">
        <v>48</v>
      </c>
      <c r="H54" s="1" t="s">
        <v>34</v>
      </c>
      <c r="I54" s="1">
        <v>965327</v>
      </c>
      <c r="J54" s="1" t="s">
        <v>48</v>
      </c>
      <c r="K54" s="1" t="s">
        <v>35</v>
      </c>
      <c r="M54" s="1" t="s">
        <v>2</v>
      </c>
      <c r="N54" s="1" t="s">
        <v>3</v>
      </c>
      <c r="O54" s="1" t="s">
        <v>0</v>
      </c>
      <c r="Q54" s="1" t="s">
        <v>36</v>
      </c>
      <c r="R54" s="1" t="s">
        <v>34</v>
      </c>
      <c r="S54" s="1" t="s">
        <v>34</v>
      </c>
      <c r="T54" s="1" t="s">
        <v>34</v>
      </c>
      <c r="U54" s="1" t="s">
        <v>620</v>
      </c>
      <c r="V54" s="1" t="s">
        <v>34</v>
      </c>
      <c r="W54" s="1" t="s">
        <v>621</v>
      </c>
      <c r="X54" s="1" t="s">
        <v>1213</v>
      </c>
    </row>
    <row r="55" spans="1:24" ht="30" x14ac:dyDescent="0.25">
      <c r="A55" s="1" t="s">
        <v>451</v>
      </c>
      <c r="B55" s="2" t="s">
        <v>452</v>
      </c>
      <c r="C55" s="2" t="s">
        <v>453</v>
      </c>
      <c r="D55" s="2" t="s">
        <v>48</v>
      </c>
      <c r="E55" s="2" t="s">
        <v>48</v>
      </c>
      <c r="F55" s="3">
        <v>8885517652</v>
      </c>
      <c r="G55" s="4" t="s">
        <v>48</v>
      </c>
      <c r="H55" s="1" t="s">
        <v>34</v>
      </c>
      <c r="I55" s="1">
        <v>910849</v>
      </c>
      <c r="J55" s="1" t="s">
        <v>48</v>
      </c>
      <c r="K55" s="1" t="s">
        <v>35</v>
      </c>
      <c r="L55" s="1" t="s">
        <v>961</v>
      </c>
      <c r="M55" s="1" t="s">
        <v>2</v>
      </c>
      <c r="N55" s="1" t="s">
        <v>3</v>
      </c>
      <c r="O55" s="1" t="s">
        <v>0</v>
      </c>
      <c r="Q55" s="1" t="s">
        <v>1210</v>
      </c>
      <c r="R55" s="1" t="s">
        <v>1210</v>
      </c>
      <c r="S55" s="1" t="s">
        <v>1210</v>
      </c>
      <c r="T55" s="1" t="s">
        <v>36</v>
      </c>
      <c r="U55" s="1" t="s">
        <v>1213</v>
      </c>
      <c r="V55" s="1" t="s">
        <v>1210</v>
      </c>
      <c r="W55" s="1" t="s">
        <v>1213</v>
      </c>
      <c r="X55" s="1" t="s">
        <v>1213</v>
      </c>
    </row>
    <row r="56" spans="1:24" ht="30" x14ac:dyDescent="0.25">
      <c r="A56" s="1" t="s">
        <v>374</v>
      </c>
      <c r="B56" s="2" t="s">
        <v>375</v>
      </c>
      <c r="C56" s="2" t="s">
        <v>376</v>
      </c>
      <c r="D56" s="2" t="s">
        <v>48</v>
      </c>
      <c r="E56" s="2" t="s">
        <v>48</v>
      </c>
      <c r="F56" s="3">
        <v>7607441001</v>
      </c>
      <c r="G56" s="4" t="s">
        <v>48</v>
      </c>
      <c r="H56" s="1" t="s">
        <v>34</v>
      </c>
      <c r="I56" s="1">
        <v>910460</v>
      </c>
      <c r="J56" s="1" t="s">
        <v>48</v>
      </c>
      <c r="K56" s="1" t="s">
        <v>35</v>
      </c>
      <c r="L56" s="1" t="s">
        <v>961</v>
      </c>
      <c r="M56" s="1" t="s">
        <v>2</v>
      </c>
      <c r="N56" s="1" t="s">
        <v>3</v>
      </c>
      <c r="O56" s="1" t="s">
        <v>0</v>
      </c>
      <c r="Q56" s="1" t="s">
        <v>1210</v>
      </c>
      <c r="R56" s="1" t="s">
        <v>1210</v>
      </c>
      <c r="S56" s="1" t="s">
        <v>1210</v>
      </c>
      <c r="T56" s="1" t="s">
        <v>36</v>
      </c>
      <c r="U56" s="1" t="s">
        <v>1213</v>
      </c>
      <c r="V56" s="1" t="s">
        <v>1210</v>
      </c>
      <c r="W56" s="1" t="s">
        <v>1213</v>
      </c>
      <c r="X56" s="1" t="s">
        <v>1213</v>
      </c>
    </row>
    <row r="57" spans="1:24" ht="30" x14ac:dyDescent="0.25">
      <c r="A57" s="1" t="s">
        <v>397</v>
      </c>
      <c r="B57" s="2" t="s">
        <v>398</v>
      </c>
      <c r="C57" s="2" t="s">
        <v>399</v>
      </c>
      <c r="D57" s="2" t="s">
        <v>48</v>
      </c>
      <c r="E57" s="2" t="s">
        <v>48</v>
      </c>
      <c r="F57" s="3">
        <v>4243539997</v>
      </c>
      <c r="G57" s="4" t="s">
        <v>48</v>
      </c>
      <c r="H57" s="1" t="s">
        <v>34</v>
      </c>
      <c r="I57" s="1">
        <v>1054022</v>
      </c>
      <c r="J57" s="1" t="s">
        <v>48</v>
      </c>
      <c r="K57" s="1" t="s">
        <v>35</v>
      </c>
      <c r="M57" s="1" t="s">
        <v>2</v>
      </c>
      <c r="O57" s="1" t="s">
        <v>0</v>
      </c>
      <c r="Q57" s="1" t="s">
        <v>1210</v>
      </c>
      <c r="R57" s="1" t="s">
        <v>1210</v>
      </c>
      <c r="S57" s="1" t="s">
        <v>1210</v>
      </c>
      <c r="T57" s="1" t="s">
        <v>34</v>
      </c>
      <c r="U57" s="1" t="s">
        <v>1213</v>
      </c>
      <c r="V57" s="1" t="s">
        <v>1210</v>
      </c>
      <c r="W57" s="1" t="s">
        <v>1213</v>
      </c>
      <c r="X57" s="1" t="s">
        <v>1213</v>
      </c>
    </row>
    <row r="58" spans="1:24" ht="60" x14ac:dyDescent="0.25">
      <c r="A58" s="1" t="s">
        <v>351</v>
      </c>
      <c r="B58" s="2" t="s">
        <v>352</v>
      </c>
      <c r="C58" s="2" t="s">
        <v>353</v>
      </c>
      <c r="D58" s="2" t="s">
        <v>48</v>
      </c>
      <c r="E58" s="2" t="s">
        <v>48</v>
      </c>
      <c r="F58" s="3">
        <v>6029064142</v>
      </c>
      <c r="G58" s="4" t="s">
        <v>48</v>
      </c>
      <c r="H58" s="1" t="s">
        <v>34</v>
      </c>
      <c r="I58" s="1">
        <v>991066</v>
      </c>
      <c r="J58" s="1" t="s">
        <v>48</v>
      </c>
      <c r="Q58" s="1" t="s">
        <v>34</v>
      </c>
      <c r="R58" s="1" t="s">
        <v>34</v>
      </c>
      <c r="S58" s="1" t="s">
        <v>34</v>
      </c>
      <c r="T58" s="1" t="s">
        <v>36</v>
      </c>
      <c r="U58" s="1" t="s">
        <v>1213</v>
      </c>
      <c r="V58" s="1" t="s">
        <v>34</v>
      </c>
      <c r="W58" s="1" t="s">
        <v>1004</v>
      </c>
      <c r="X58" s="1" t="s">
        <v>1077</v>
      </c>
    </row>
    <row r="59" spans="1:24" ht="90" x14ac:dyDescent="0.25">
      <c r="A59" s="1" t="s">
        <v>388</v>
      </c>
      <c r="B59" s="2" t="s">
        <v>389</v>
      </c>
      <c r="C59" s="2" t="s">
        <v>390</v>
      </c>
      <c r="D59" s="2" t="s">
        <v>48</v>
      </c>
      <c r="E59" s="2" t="s">
        <v>48</v>
      </c>
      <c r="F59" s="3">
        <v>6198434083</v>
      </c>
      <c r="G59" s="4" t="s">
        <v>48</v>
      </c>
      <c r="H59" s="1" t="s">
        <v>34</v>
      </c>
      <c r="I59" s="1">
        <v>984420</v>
      </c>
      <c r="J59" s="1" t="s">
        <v>48</v>
      </c>
      <c r="K59" s="1" t="s">
        <v>35</v>
      </c>
      <c r="M59" s="1" t="s">
        <v>2</v>
      </c>
      <c r="O59" s="1" t="s">
        <v>0</v>
      </c>
      <c r="Q59" s="1" t="s">
        <v>34</v>
      </c>
      <c r="R59" s="1" t="s">
        <v>34</v>
      </c>
      <c r="S59" s="1" t="s">
        <v>34</v>
      </c>
      <c r="T59" s="1" t="s">
        <v>34</v>
      </c>
      <c r="U59" s="1" t="s">
        <v>1133</v>
      </c>
      <c r="V59" s="1" t="s">
        <v>34</v>
      </c>
      <c r="W59" s="1" t="s">
        <v>1135</v>
      </c>
      <c r="X59" s="1" t="s">
        <v>1134</v>
      </c>
    </row>
    <row r="60" spans="1:24" x14ac:dyDescent="0.25">
      <c r="A60" s="1" t="s">
        <v>142</v>
      </c>
      <c r="B60" s="2" t="s">
        <v>143</v>
      </c>
      <c r="C60" s="2" t="s">
        <v>144</v>
      </c>
      <c r="D60" s="2" t="s">
        <v>48</v>
      </c>
      <c r="E60" s="2" t="s">
        <v>48</v>
      </c>
      <c r="F60" s="3">
        <v>9169195823</v>
      </c>
      <c r="G60" s="4" t="s">
        <v>48</v>
      </c>
      <c r="H60" s="1" t="s">
        <v>34</v>
      </c>
      <c r="I60" s="1">
        <v>775037</v>
      </c>
      <c r="J60" s="1" t="s">
        <v>48</v>
      </c>
      <c r="Q60" s="1" t="s">
        <v>34</v>
      </c>
      <c r="R60" s="1" t="s">
        <v>34</v>
      </c>
      <c r="S60" s="1" t="s">
        <v>34</v>
      </c>
      <c r="T60" s="1" t="s">
        <v>36</v>
      </c>
      <c r="U60" s="1" t="s">
        <v>1213</v>
      </c>
      <c r="V60" s="1" t="s">
        <v>1210</v>
      </c>
      <c r="W60" s="1" t="s">
        <v>1213</v>
      </c>
      <c r="X60" s="1" t="s">
        <v>1213</v>
      </c>
    </row>
    <row r="61" spans="1:24" ht="30" x14ac:dyDescent="0.25">
      <c r="A61" s="1" t="s">
        <v>304</v>
      </c>
      <c r="B61" s="2" t="s">
        <v>305</v>
      </c>
      <c r="C61" s="2" t="s">
        <v>306</v>
      </c>
      <c r="D61" s="2" t="s">
        <v>48</v>
      </c>
      <c r="E61" s="2" t="s">
        <v>48</v>
      </c>
      <c r="F61" s="3">
        <v>6509389574</v>
      </c>
      <c r="G61" s="4" t="s">
        <v>48</v>
      </c>
      <c r="H61" s="1" t="s">
        <v>34</v>
      </c>
      <c r="I61" s="1">
        <v>820697</v>
      </c>
      <c r="J61" s="1" t="s">
        <v>48</v>
      </c>
      <c r="K61" s="1" t="s">
        <v>35</v>
      </c>
      <c r="L61" s="1" t="s">
        <v>961</v>
      </c>
      <c r="M61" s="1" t="s">
        <v>2</v>
      </c>
      <c r="N61" s="1" t="s">
        <v>3</v>
      </c>
      <c r="O61" s="1" t="s">
        <v>0</v>
      </c>
      <c r="Q61" s="1" t="s">
        <v>34</v>
      </c>
      <c r="R61" s="1" t="s">
        <v>34</v>
      </c>
      <c r="S61" s="1" t="s">
        <v>36</v>
      </c>
      <c r="T61" s="1" t="s">
        <v>36</v>
      </c>
      <c r="U61" s="1" t="s">
        <v>1213</v>
      </c>
      <c r="V61" s="1" t="s">
        <v>1210</v>
      </c>
      <c r="W61" s="1" t="s">
        <v>1213</v>
      </c>
      <c r="X61" s="1" t="s">
        <v>1005</v>
      </c>
    </row>
    <row r="62" spans="1:24" ht="165" x14ac:dyDescent="0.25">
      <c r="A62" s="1" t="s">
        <v>1215</v>
      </c>
      <c r="B62" s="2" t="s">
        <v>224</v>
      </c>
      <c r="C62" s="2" t="s">
        <v>225</v>
      </c>
      <c r="D62" s="2" t="s">
        <v>48</v>
      </c>
      <c r="E62" s="2" t="s">
        <v>48</v>
      </c>
      <c r="F62" s="3">
        <v>8057054446</v>
      </c>
      <c r="G62" s="4" t="s">
        <v>48</v>
      </c>
      <c r="H62" s="1" t="s">
        <v>34</v>
      </c>
      <c r="I62" s="1">
        <v>585437</v>
      </c>
      <c r="J62" s="1" t="s">
        <v>48</v>
      </c>
      <c r="K62" s="1" t="s">
        <v>35</v>
      </c>
      <c r="M62" s="1" t="s">
        <v>2</v>
      </c>
      <c r="O62" s="1" t="s">
        <v>0</v>
      </c>
      <c r="P62" s="1" t="s">
        <v>1</v>
      </c>
      <c r="Q62" s="1" t="s">
        <v>34</v>
      </c>
      <c r="R62" s="1" t="s">
        <v>34</v>
      </c>
      <c r="S62" s="1" t="s">
        <v>34</v>
      </c>
      <c r="T62" s="1" t="s">
        <v>36</v>
      </c>
      <c r="U62" s="1" t="s">
        <v>1213</v>
      </c>
      <c r="V62" s="1" t="s">
        <v>34</v>
      </c>
      <c r="W62" s="1" t="s">
        <v>1137</v>
      </c>
      <c r="X62" s="1" t="s">
        <v>1136</v>
      </c>
    </row>
    <row r="63" spans="1:24" ht="30" x14ac:dyDescent="0.25">
      <c r="A63" s="1" t="s">
        <v>529</v>
      </c>
      <c r="B63" s="2" t="s">
        <v>530</v>
      </c>
      <c r="C63" s="2" t="s">
        <v>531</v>
      </c>
      <c r="D63" s="2" t="s">
        <v>48</v>
      </c>
      <c r="E63" s="2" t="s">
        <v>48</v>
      </c>
      <c r="F63" s="3">
        <v>9252238547</v>
      </c>
      <c r="G63" s="4" t="s">
        <v>48</v>
      </c>
      <c r="H63" s="1" t="s">
        <v>34</v>
      </c>
      <c r="I63" s="1">
        <v>996520</v>
      </c>
      <c r="J63" s="1" t="s">
        <v>48</v>
      </c>
      <c r="K63" s="1" t="s">
        <v>35</v>
      </c>
      <c r="M63" s="1" t="s">
        <v>2</v>
      </c>
      <c r="O63" s="1" t="s">
        <v>0</v>
      </c>
      <c r="Q63" s="1" t="s">
        <v>34</v>
      </c>
      <c r="R63" s="1" t="s">
        <v>34</v>
      </c>
      <c r="S63" s="1" t="s">
        <v>34</v>
      </c>
      <c r="T63" s="1" t="s">
        <v>36</v>
      </c>
      <c r="U63" s="1" t="s">
        <v>1213</v>
      </c>
      <c r="V63" s="1" t="s">
        <v>1210</v>
      </c>
      <c r="W63" s="1" t="s">
        <v>1213</v>
      </c>
      <c r="X63" s="1" t="s">
        <v>1213</v>
      </c>
    </row>
    <row r="64" spans="1:24" ht="30" x14ac:dyDescent="0.25">
      <c r="A64" s="1" t="s">
        <v>911</v>
      </c>
      <c r="B64" s="2" t="s">
        <v>748</v>
      </c>
      <c r="C64" s="2" t="s">
        <v>749</v>
      </c>
      <c r="D64" s="2" t="s">
        <v>48</v>
      </c>
      <c r="E64" s="2" t="s">
        <v>48</v>
      </c>
      <c r="F64" s="3">
        <v>7074818699</v>
      </c>
      <c r="G64" s="4" t="s">
        <v>48</v>
      </c>
      <c r="H64" s="1" t="s">
        <v>34</v>
      </c>
      <c r="I64" s="1">
        <v>873960</v>
      </c>
      <c r="J64" s="1" t="s">
        <v>48</v>
      </c>
      <c r="K64" s="1" t="s">
        <v>35</v>
      </c>
      <c r="M64" s="1" t="s">
        <v>2</v>
      </c>
      <c r="O64" s="1" t="s">
        <v>0</v>
      </c>
      <c r="Q64" s="1" t="s">
        <v>34</v>
      </c>
      <c r="R64" s="1" t="s">
        <v>36</v>
      </c>
      <c r="S64" s="1" t="s">
        <v>34</v>
      </c>
      <c r="T64" s="1" t="s">
        <v>36</v>
      </c>
      <c r="U64" s="1" t="s">
        <v>1213</v>
      </c>
      <c r="V64" s="1" t="s">
        <v>1210</v>
      </c>
      <c r="W64" s="1" t="s">
        <v>1213</v>
      </c>
      <c r="X64" s="1" t="s">
        <v>1213</v>
      </c>
    </row>
    <row r="65" spans="1:24" ht="30" x14ac:dyDescent="0.25">
      <c r="A65" s="1" t="s">
        <v>850</v>
      </c>
      <c r="B65" s="2" t="s">
        <v>567</v>
      </c>
      <c r="C65" s="2" t="s">
        <v>568</v>
      </c>
      <c r="D65" s="2" t="s">
        <v>48</v>
      </c>
      <c r="E65" s="2" t="s">
        <v>48</v>
      </c>
      <c r="F65" s="3">
        <v>7607491111</v>
      </c>
      <c r="G65" s="4" t="s">
        <v>48</v>
      </c>
      <c r="H65" s="1" t="s">
        <v>34</v>
      </c>
      <c r="I65" s="1">
        <v>831831</v>
      </c>
      <c r="J65" s="1" t="s">
        <v>48</v>
      </c>
      <c r="K65" s="1" t="s">
        <v>35</v>
      </c>
      <c r="M65" s="1" t="s">
        <v>2</v>
      </c>
      <c r="O65" s="1" t="s">
        <v>0</v>
      </c>
      <c r="Q65" s="1" t="s">
        <v>36</v>
      </c>
      <c r="R65" s="1" t="s">
        <v>34</v>
      </c>
      <c r="S65" s="1" t="s">
        <v>34</v>
      </c>
      <c r="T65" s="1" t="s">
        <v>36</v>
      </c>
      <c r="U65" s="1" t="s">
        <v>1213</v>
      </c>
      <c r="V65" s="1" t="s">
        <v>1210</v>
      </c>
      <c r="W65" s="1" t="s">
        <v>1213</v>
      </c>
      <c r="X65" s="1" t="s">
        <v>569</v>
      </c>
    </row>
    <row r="66" spans="1:24" ht="30" x14ac:dyDescent="0.25">
      <c r="A66" s="1" t="s">
        <v>938</v>
      </c>
      <c r="B66" s="5" t="s">
        <v>939</v>
      </c>
      <c r="C66" s="2" t="s">
        <v>805</v>
      </c>
      <c r="D66" s="2" t="s">
        <v>48</v>
      </c>
      <c r="E66" s="2" t="s">
        <v>48</v>
      </c>
      <c r="F66" s="3">
        <v>8316878097</v>
      </c>
      <c r="G66" s="4" t="s">
        <v>48</v>
      </c>
      <c r="H66" s="1" t="s">
        <v>34</v>
      </c>
      <c r="I66" s="1">
        <v>987896</v>
      </c>
      <c r="J66" s="1" t="s">
        <v>48</v>
      </c>
      <c r="K66" s="1" t="s">
        <v>35</v>
      </c>
      <c r="L66" s="1" t="s">
        <v>961</v>
      </c>
      <c r="M66" s="1" t="s">
        <v>2</v>
      </c>
      <c r="N66" s="1" t="s">
        <v>3</v>
      </c>
      <c r="O66" s="1" t="s">
        <v>0</v>
      </c>
      <c r="Q66" s="1" t="s">
        <v>34</v>
      </c>
      <c r="R66" s="1" t="s">
        <v>36</v>
      </c>
      <c r="S66" s="1" t="s">
        <v>34</v>
      </c>
      <c r="T66" s="1" t="s">
        <v>36</v>
      </c>
      <c r="U66" s="1" t="s">
        <v>1213</v>
      </c>
      <c r="V66" s="1" t="s">
        <v>34</v>
      </c>
      <c r="W66" s="1" t="s">
        <v>1006</v>
      </c>
      <c r="X66" s="1" t="s">
        <v>1213</v>
      </c>
    </row>
    <row r="67" spans="1:24" ht="30" x14ac:dyDescent="0.25">
      <c r="A67" s="1" t="s">
        <v>321</v>
      </c>
      <c r="B67" s="2" t="s">
        <v>321</v>
      </c>
      <c r="C67" s="2" t="s">
        <v>322</v>
      </c>
      <c r="D67" s="2" t="s">
        <v>48</v>
      </c>
      <c r="E67" s="2" t="s">
        <v>48</v>
      </c>
      <c r="F67" s="3">
        <v>5307867070</v>
      </c>
      <c r="G67" s="4" t="s">
        <v>48</v>
      </c>
      <c r="H67" s="1" t="s">
        <v>34</v>
      </c>
      <c r="I67" s="1">
        <v>953430</v>
      </c>
      <c r="J67" s="1" t="s">
        <v>48</v>
      </c>
      <c r="K67" s="1" t="s">
        <v>35</v>
      </c>
      <c r="M67" s="1" t="s">
        <v>2</v>
      </c>
      <c r="N67" s="1" t="s">
        <v>3</v>
      </c>
      <c r="O67" s="1" t="s">
        <v>0</v>
      </c>
      <c r="P67" s="1" t="s">
        <v>1</v>
      </c>
      <c r="Q67" s="1" t="s">
        <v>34</v>
      </c>
      <c r="R67" s="1" t="s">
        <v>34</v>
      </c>
      <c r="S67" s="1" t="s">
        <v>34</v>
      </c>
      <c r="T67" s="1" t="s">
        <v>36</v>
      </c>
      <c r="U67" s="1" t="s">
        <v>1213</v>
      </c>
      <c r="V67" s="1" t="s">
        <v>1210</v>
      </c>
      <c r="W67" s="1" t="s">
        <v>1213</v>
      </c>
      <c r="X67" s="1" t="s">
        <v>1213</v>
      </c>
    </row>
    <row r="68" spans="1:24" ht="30" x14ac:dyDescent="0.25">
      <c r="A68" s="1" t="s">
        <v>148</v>
      </c>
      <c r="B68" s="2" t="s">
        <v>149</v>
      </c>
      <c r="C68" s="2" t="s">
        <v>150</v>
      </c>
      <c r="D68" s="2" t="s">
        <v>48</v>
      </c>
      <c r="E68" s="2" t="s">
        <v>48</v>
      </c>
      <c r="F68" s="3">
        <v>9253504121</v>
      </c>
      <c r="G68" s="4" t="s">
        <v>48</v>
      </c>
      <c r="H68" s="1" t="s">
        <v>34</v>
      </c>
      <c r="I68" s="1">
        <v>1008525</v>
      </c>
      <c r="J68" s="1" t="s">
        <v>48</v>
      </c>
      <c r="K68" s="1" t="s">
        <v>35</v>
      </c>
      <c r="L68" s="1" t="s">
        <v>961</v>
      </c>
      <c r="M68" s="1" t="s">
        <v>2</v>
      </c>
      <c r="N68" s="1" t="s">
        <v>3</v>
      </c>
      <c r="O68" s="1" t="s">
        <v>0</v>
      </c>
      <c r="P68" s="1" t="s">
        <v>1</v>
      </c>
      <c r="Q68" s="1" t="s">
        <v>34</v>
      </c>
      <c r="R68" s="1" t="s">
        <v>34</v>
      </c>
      <c r="S68" s="1" t="s">
        <v>34</v>
      </c>
      <c r="T68" s="1" t="s">
        <v>36</v>
      </c>
      <c r="U68" s="1" t="s">
        <v>1213</v>
      </c>
      <c r="V68" s="1" t="s">
        <v>34</v>
      </c>
      <c r="W68" s="1" t="s">
        <v>152</v>
      </c>
      <c r="X68" s="1" t="s">
        <v>151</v>
      </c>
    </row>
    <row r="69" spans="1:24" ht="45" x14ac:dyDescent="0.25">
      <c r="A69" s="1" t="s">
        <v>888</v>
      </c>
      <c r="B69" s="2" t="s">
        <v>683</v>
      </c>
      <c r="C69" s="2" t="s">
        <v>684</v>
      </c>
      <c r="D69" s="2" t="s">
        <v>48</v>
      </c>
      <c r="E69" s="2" t="s">
        <v>48</v>
      </c>
      <c r="F69" s="3">
        <v>5592551644</v>
      </c>
      <c r="G69" s="4" t="s">
        <v>48</v>
      </c>
      <c r="H69" s="1" t="s">
        <v>34</v>
      </c>
      <c r="I69" s="1">
        <v>271615</v>
      </c>
      <c r="J69" s="1" t="s">
        <v>48</v>
      </c>
      <c r="K69" s="1" t="s">
        <v>35</v>
      </c>
      <c r="L69" s="1" t="s">
        <v>961</v>
      </c>
      <c r="M69" s="1" t="s">
        <v>2</v>
      </c>
      <c r="N69" s="1" t="s">
        <v>3</v>
      </c>
      <c r="O69" s="1" t="s">
        <v>0</v>
      </c>
      <c r="Q69" s="1" t="s">
        <v>34</v>
      </c>
      <c r="R69" s="1" t="s">
        <v>34</v>
      </c>
      <c r="S69" s="1" t="s">
        <v>34</v>
      </c>
      <c r="T69" s="1" t="s">
        <v>34</v>
      </c>
      <c r="U69" s="1" t="s">
        <v>685</v>
      </c>
      <c r="V69" s="1" t="s">
        <v>1210</v>
      </c>
      <c r="W69" s="1" t="s">
        <v>1213</v>
      </c>
      <c r="X69" s="1" t="s">
        <v>686</v>
      </c>
    </row>
    <row r="70" spans="1:24" ht="45" x14ac:dyDescent="0.25">
      <c r="A70" s="1" t="s">
        <v>67</v>
      </c>
      <c r="B70" s="2" t="s">
        <v>68</v>
      </c>
      <c r="C70" s="2" t="s">
        <v>69</v>
      </c>
      <c r="D70" s="2" t="s">
        <v>48</v>
      </c>
      <c r="E70" s="2" t="s">
        <v>48</v>
      </c>
      <c r="F70" s="3">
        <v>4086090888</v>
      </c>
      <c r="G70" s="4" t="s">
        <v>48</v>
      </c>
      <c r="H70" s="1" t="s">
        <v>34</v>
      </c>
      <c r="I70" s="1">
        <v>1003783</v>
      </c>
      <c r="J70" s="1" t="s">
        <v>48</v>
      </c>
      <c r="K70" s="1" t="s">
        <v>35</v>
      </c>
      <c r="L70" s="1" t="s">
        <v>961</v>
      </c>
      <c r="O70" s="1" t="s">
        <v>0</v>
      </c>
      <c r="Q70" s="1" t="s">
        <v>34</v>
      </c>
      <c r="R70" s="1" t="s">
        <v>36</v>
      </c>
      <c r="S70" s="1" t="s">
        <v>34</v>
      </c>
      <c r="T70" s="1" t="s">
        <v>36</v>
      </c>
      <c r="U70" s="1" t="s">
        <v>1213</v>
      </c>
      <c r="V70" s="1" t="s">
        <v>34</v>
      </c>
      <c r="W70" s="1" t="s">
        <v>1007</v>
      </c>
      <c r="X70" s="1" t="s">
        <v>1213</v>
      </c>
    </row>
    <row r="71" spans="1:24" ht="30" x14ac:dyDescent="0.25">
      <c r="A71" s="1" t="s">
        <v>258</v>
      </c>
      <c r="B71" s="2" t="s">
        <v>259</v>
      </c>
      <c r="C71" s="2" t="s">
        <v>260</v>
      </c>
      <c r="D71" s="2" t="s">
        <v>48</v>
      </c>
      <c r="E71" s="2" t="s">
        <v>48</v>
      </c>
      <c r="F71" s="3">
        <v>8003966949</v>
      </c>
      <c r="G71" s="4" t="s">
        <v>48</v>
      </c>
      <c r="H71" s="1" t="s">
        <v>34</v>
      </c>
      <c r="I71" s="1">
        <v>1028255</v>
      </c>
      <c r="J71" s="1" t="s">
        <v>48</v>
      </c>
      <c r="K71" s="1" t="s">
        <v>35</v>
      </c>
      <c r="L71" s="1" t="s">
        <v>961</v>
      </c>
      <c r="M71" s="1" t="s">
        <v>2</v>
      </c>
      <c r="N71" s="1" t="s">
        <v>3</v>
      </c>
      <c r="O71" s="1" t="s">
        <v>0</v>
      </c>
      <c r="P71" s="1" t="s">
        <v>1</v>
      </c>
      <c r="Q71" s="1" t="s">
        <v>34</v>
      </c>
      <c r="R71" s="1" t="s">
        <v>36</v>
      </c>
      <c r="S71" s="1" t="s">
        <v>34</v>
      </c>
      <c r="T71" s="1" t="s">
        <v>36</v>
      </c>
      <c r="U71" s="1" t="s">
        <v>1213</v>
      </c>
      <c r="V71" s="1" t="s">
        <v>1210</v>
      </c>
      <c r="W71" s="1" t="s">
        <v>1213</v>
      </c>
      <c r="X71" s="1" t="s">
        <v>1213</v>
      </c>
    </row>
    <row r="72" spans="1:24" ht="60" x14ac:dyDescent="0.25">
      <c r="A72" s="1" t="s">
        <v>914</v>
      </c>
      <c r="B72" s="2" t="s">
        <v>751</v>
      </c>
      <c r="C72" s="2" t="s">
        <v>752</v>
      </c>
      <c r="D72" s="2" t="s">
        <v>48</v>
      </c>
      <c r="E72" s="2" t="s">
        <v>48</v>
      </c>
      <c r="F72" s="3">
        <v>5308788558</v>
      </c>
      <c r="G72" s="4" t="s">
        <v>48</v>
      </c>
      <c r="H72" s="1" t="s">
        <v>34</v>
      </c>
      <c r="I72" s="1">
        <v>774452</v>
      </c>
      <c r="J72" s="1" t="s">
        <v>48</v>
      </c>
      <c r="K72" s="1" t="s">
        <v>35</v>
      </c>
      <c r="L72" s="1" t="s">
        <v>35</v>
      </c>
      <c r="M72" s="1" t="s">
        <v>2</v>
      </c>
      <c r="O72" s="1" t="s">
        <v>0</v>
      </c>
      <c r="Q72" s="1" t="s">
        <v>34</v>
      </c>
      <c r="R72" s="1" t="s">
        <v>34</v>
      </c>
      <c r="S72" s="1" t="s">
        <v>34</v>
      </c>
      <c r="T72" s="1" t="s">
        <v>34</v>
      </c>
      <c r="U72" s="1" t="s">
        <v>972</v>
      </c>
      <c r="V72" s="1" t="s">
        <v>34</v>
      </c>
      <c r="W72" s="1" t="s">
        <v>1008</v>
      </c>
      <c r="X72" s="1" t="s">
        <v>1078</v>
      </c>
    </row>
    <row r="73" spans="1:24" ht="30" x14ac:dyDescent="0.25">
      <c r="A73" s="1" t="s">
        <v>917</v>
      </c>
      <c r="B73" s="5" t="s">
        <v>918</v>
      </c>
      <c r="C73" s="2" t="s">
        <v>757</v>
      </c>
      <c r="D73" s="2" t="s">
        <v>48</v>
      </c>
      <c r="E73" s="2" t="s">
        <v>48</v>
      </c>
      <c r="F73" s="3">
        <v>7142659077</v>
      </c>
      <c r="G73" s="4" t="s">
        <v>48</v>
      </c>
      <c r="H73" s="1" t="s">
        <v>34</v>
      </c>
      <c r="I73" s="1">
        <v>1045300</v>
      </c>
      <c r="J73" s="1" t="s">
        <v>48</v>
      </c>
      <c r="K73" s="1" t="s">
        <v>35</v>
      </c>
      <c r="L73" s="1" t="s">
        <v>961</v>
      </c>
      <c r="M73" s="1" t="s">
        <v>2</v>
      </c>
      <c r="N73" s="1" t="s">
        <v>3</v>
      </c>
      <c r="O73" s="1" t="s">
        <v>0</v>
      </c>
      <c r="P73" s="1" t="s">
        <v>1</v>
      </c>
      <c r="Q73" s="1" t="s">
        <v>34</v>
      </c>
      <c r="R73" s="1" t="s">
        <v>36</v>
      </c>
      <c r="S73" s="1" t="s">
        <v>34</v>
      </c>
      <c r="T73" s="1" t="s">
        <v>34</v>
      </c>
      <c r="U73" s="1" t="s">
        <v>973</v>
      </c>
      <c r="V73" s="1" t="s">
        <v>1210</v>
      </c>
      <c r="W73" s="1" t="s">
        <v>1213</v>
      </c>
      <c r="X73" s="1" t="s">
        <v>758</v>
      </c>
    </row>
    <row r="74" spans="1:24" ht="105" x14ac:dyDescent="0.25">
      <c r="A74" s="1" t="s">
        <v>391</v>
      </c>
      <c r="B74" s="2" t="s">
        <v>392</v>
      </c>
      <c r="C74" s="2" t="s">
        <v>393</v>
      </c>
      <c r="D74" s="2" t="s">
        <v>48</v>
      </c>
      <c r="E74" s="2" t="s">
        <v>48</v>
      </c>
      <c r="F74" s="3">
        <v>8585213415</v>
      </c>
      <c r="G74" s="4" t="s">
        <v>48</v>
      </c>
      <c r="H74" s="1" t="s">
        <v>34</v>
      </c>
      <c r="I74" s="1">
        <v>1050533</v>
      </c>
      <c r="J74" s="1" t="s">
        <v>48</v>
      </c>
      <c r="L74" s="1" t="s">
        <v>44</v>
      </c>
      <c r="N74" s="1" t="s">
        <v>3</v>
      </c>
      <c r="Q74" s="1" t="s">
        <v>34</v>
      </c>
      <c r="R74" s="1" t="s">
        <v>34</v>
      </c>
      <c r="S74" s="1" t="s">
        <v>34</v>
      </c>
      <c r="T74" s="1" t="s">
        <v>34</v>
      </c>
      <c r="U74" s="1" t="s">
        <v>974</v>
      </c>
      <c r="V74" s="1" t="s">
        <v>1210</v>
      </c>
      <c r="W74" s="1" t="s">
        <v>1213</v>
      </c>
      <c r="X74" s="1" t="s">
        <v>1213</v>
      </c>
    </row>
    <row r="75" spans="1:24" ht="30" x14ac:dyDescent="0.25">
      <c r="A75" s="1" t="s">
        <v>190</v>
      </c>
      <c r="B75" s="2" t="s">
        <v>191</v>
      </c>
      <c r="C75" s="2" t="s">
        <v>192</v>
      </c>
      <c r="D75" s="2" t="s">
        <v>48</v>
      </c>
      <c r="E75" s="2" t="s">
        <v>48</v>
      </c>
      <c r="F75" s="3">
        <v>7142025422</v>
      </c>
      <c r="G75" s="4" t="s">
        <v>48</v>
      </c>
      <c r="H75" s="1" t="s">
        <v>34</v>
      </c>
      <c r="I75" s="1">
        <v>1014270</v>
      </c>
      <c r="J75" s="1" t="s">
        <v>48</v>
      </c>
      <c r="K75" s="1" t="s">
        <v>35</v>
      </c>
      <c r="L75" s="1" t="s">
        <v>961</v>
      </c>
      <c r="M75" s="1" t="s">
        <v>2</v>
      </c>
      <c r="O75" s="1" t="s">
        <v>0</v>
      </c>
      <c r="Q75" s="1" t="s">
        <v>34</v>
      </c>
      <c r="R75" s="1" t="s">
        <v>34</v>
      </c>
      <c r="S75" s="1" t="s">
        <v>34</v>
      </c>
      <c r="T75" s="1" t="s">
        <v>34</v>
      </c>
      <c r="U75" s="1" t="s">
        <v>193</v>
      </c>
      <c r="V75" s="1" t="s">
        <v>1210</v>
      </c>
      <c r="W75" s="1" t="s">
        <v>1213</v>
      </c>
      <c r="X75" s="1" t="s">
        <v>194</v>
      </c>
    </row>
    <row r="76" spans="1:24" ht="135" x14ac:dyDescent="0.25">
      <c r="A76" s="1" t="s">
        <v>872</v>
      </c>
      <c r="B76" s="2" t="s">
        <v>637</v>
      </c>
      <c r="C76" s="2" t="s">
        <v>638</v>
      </c>
      <c r="D76" s="2" t="s">
        <v>48</v>
      </c>
      <c r="E76" s="2" t="s">
        <v>48</v>
      </c>
      <c r="F76" s="3">
        <v>3108260090</v>
      </c>
      <c r="G76" s="4" t="s">
        <v>48</v>
      </c>
      <c r="H76" s="1" t="s">
        <v>34</v>
      </c>
      <c r="I76" s="1">
        <v>603892</v>
      </c>
      <c r="J76" s="1" t="s">
        <v>48</v>
      </c>
      <c r="K76" s="1" t="s">
        <v>35</v>
      </c>
      <c r="L76" s="1" t="s">
        <v>961</v>
      </c>
      <c r="M76" s="1" t="s">
        <v>2</v>
      </c>
      <c r="N76" s="1" t="s">
        <v>3</v>
      </c>
      <c r="O76" s="1" t="s">
        <v>0</v>
      </c>
      <c r="Q76" s="1" t="s">
        <v>34</v>
      </c>
      <c r="R76" s="1" t="s">
        <v>34</v>
      </c>
      <c r="S76" s="1" t="s">
        <v>34</v>
      </c>
      <c r="T76" s="1" t="s">
        <v>34</v>
      </c>
      <c r="U76" s="1" t="s">
        <v>1138</v>
      </c>
      <c r="V76" s="1" t="s">
        <v>1210</v>
      </c>
      <c r="W76" s="1" t="s">
        <v>1213</v>
      </c>
      <c r="X76" s="1" t="s">
        <v>1079</v>
      </c>
    </row>
    <row r="77" spans="1:24" ht="270" x14ac:dyDescent="0.25">
      <c r="A77" s="1" t="s">
        <v>878</v>
      </c>
      <c r="B77" s="2" t="s">
        <v>652</v>
      </c>
      <c r="C77" s="2" t="s">
        <v>653</v>
      </c>
      <c r="D77" s="2" t="s">
        <v>48</v>
      </c>
      <c r="E77" s="2" t="s">
        <v>48</v>
      </c>
      <c r="F77" s="3">
        <v>8052310822</v>
      </c>
      <c r="G77" s="4" t="s">
        <v>48</v>
      </c>
      <c r="H77" s="1" t="s">
        <v>34</v>
      </c>
      <c r="I77" s="1">
        <v>969938</v>
      </c>
      <c r="J77" s="1" t="s">
        <v>48</v>
      </c>
      <c r="K77" s="1" t="s">
        <v>35</v>
      </c>
      <c r="M77" s="1" t="s">
        <v>2</v>
      </c>
      <c r="O77" s="1" t="s">
        <v>0</v>
      </c>
      <c r="Q77" s="1" t="s">
        <v>34</v>
      </c>
      <c r="R77" s="1" t="s">
        <v>34</v>
      </c>
      <c r="S77" s="1" t="s">
        <v>34</v>
      </c>
      <c r="T77" s="1" t="s">
        <v>36</v>
      </c>
      <c r="U77" s="1" t="s">
        <v>1213</v>
      </c>
      <c r="V77" s="1" t="s">
        <v>34</v>
      </c>
      <c r="W77" s="1" t="s">
        <v>654</v>
      </c>
      <c r="X77" s="1" t="s">
        <v>1139</v>
      </c>
    </row>
    <row r="78" spans="1:24" ht="30" x14ac:dyDescent="0.25">
      <c r="A78" s="1" t="s">
        <v>153</v>
      </c>
      <c r="B78" s="2" t="s">
        <v>154</v>
      </c>
      <c r="C78" s="2" t="s">
        <v>155</v>
      </c>
      <c r="D78" s="2" t="s">
        <v>48</v>
      </c>
      <c r="E78" s="2" t="s">
        <v>48</v>
      </c>
      <c r="F78" s="3">
        <v>9258031601</v>
      </c>
      <c r="G78" s="4" t="s">
        <v>48</v>
      </c>
      <c r="H78" s="1" t="s">
        <v>34</v>
      </c>
      <c r="I78" s="1">
        <v>835854</v>
      </c>
      <c r="J78" s="1" t="s">
        <v>48</v>
      </c>
      <c r="K78" s="1" t="s">
        <v>35</v>
      </c>
      <c r="L78" s="1" t="s">
        <v>961</v>
      </c>
      <c r="M78" s="1" t="s">
        <v>2</v>
      </c>
      <c r="N78" s="1" t="s">
        <v>3</v>
      </c>
      <c r="O78" s="1" t="s">
        <v>0</v>
      </c>
      <c r="Q78" s="1" t="s">
        <v>36</v>
      </c>
      <c r="R78" s="1" t="s">
        <v>36</v>
      </c>
      <c r="S78" s="1" t="s">
        <v>34</v>
      </c>
      <c r="T78" s="1" t="s">
        <v>36</v>
      </c>
      <c r="U78" s="1" t="s">
        <v>1213</v>
      </c>
      <c r="V78" s="1" t="s">
        <v>1210</v>
      </c>
      <c r="W78" s="1" t="s">
        <v>1213</v>
      </c>
      <c r="X78" s="1" t="s">
        <v>1213</v>
      </c>
    </row>
    <row r="79" spans="1:24" ht="45" x14ac:dyDescent="0.25">
      <c r="A79" s="1" t="s">
        <v>330</v>
      </c>
      <c r="B79" s="2" t="s">
        <v>331</v>
      </c>
      <c r="C79" s="2" t="s">
        <v>332</v>
      </c>
      <c r="D79" s="2" t="s">
        <v>48</v>
      </c>
      <c r="E79" s="2" t="s">
        <v>48</v>
      </c>
      <c r="F79" s="3">
        <v>9168243080</v>
      </c>
      <c r="G79" s="4" t="s">
        <v>48</v>
      </c>
      <c r="H79" s="1" t="s">
        <v>34</v>
      </c>
      <c r="I79" s="1">
        <v>990593</v>
      </c>
      <c r="J79" s="1" t="s">
        <v>48</v>
      </c>
      <c r="Q79" s="1" t="s">
        <v>34</v>
      </c>
      <c r="R79" s="1" t="s">
        <v>34</v>
      </c>
      <c r="S79" s="1" t="s">
        <v>34</v>
      </c>
      <c r="T79" s="1" t="s">
        <v>36</v>
      </c>
      <c r="U79" s="1" t="s">
        <v>1213</v>
      </c>
      <c r="V79" s="1" t="s">
        <v>1210</v>
      </c>
      <c r="W79" s="1" t="s">
        <v>1213</v>
      </c>
      <c r="X79" s="1" t="s">
        <v>1080</v>
      </c>
    </row>
    <row r="80" spans="1:24" ht="90" x14ac:dyDescent="0.25">
      <c r="A80" s="1" t="s">
        <v>532</v>
      </c>
      <c r="B80" s="2" t="s">
        <v>1009</v>
      </c>
      <c r="C80" s="2" t="s">
        <v>533</v>
      </c>
      <c r="D80" s="2" t="s">
        <v>48</v>
      </c>
      <c r="E80" s="2" t="s">
        <v>48</v>
      </c>
      <c r="F80" s="3">
        <v>4125126859</v>
      </c>
      <c r="G80" s="3">
        <v>6172249900</v>
      </c>
      <c r="H80" s="1" t="s">
        <v>34</v>
      </c>
      <c r="I80" s="1">
        <v>1063379</v>
      </c>
      <c r="J80" s="1" t="s">
        <v>48</v>
      </c>
      <c r="L80" s="1" t="s">
        <v>44</v>
      </c>
      <c r="N80" s="1" t="s">
        <v>3</v>
      </c>
      <c r="Q80" s="1" t="s">
        <v>34</v>
      </c>
      <c r="R80" s="1" t="s">
        <v>36</v>
      </c>
      <c r="S80" s="1" t="s">
        <v>34</v>
      </c>
      <c r="T80" s="1" t="s">
        <v>34</v>
      </c>
      <c r="U80" s="1" t="s">
        <v>534</v>
      </c>
      <c r="V80" s="1" t="s">
        <v>34</v>
      </c>
      <c r="W80" s="1" t="s">
        <v>1010</v>
      </c>
      <c r="X80" s="1" t="s">
        <v>1140</v>
      </c>
    </row>
    <row r="81" spans="1:24" ht="45" x14ac:dyDescent="0.25">
      <c r="A81" s="1" t="s">
        <v>280</v>
      </c>
      <c r="B81" s="2" t="s">
        <v>281</v>
      </c>
      <c r="C81" s="2" t="s">
        <v>282</v>
      </c>
      <c r="D81" s="2" t="s">
        <v>48</v>
      </c>
      <c r="E81" s="2" t="s">
        <v>48</v>
      </c>
      <c r="F81" s="3">
        <v>6618689000</v>
      </c>
      <c r="G81" s="4" t="s">
        <v>48</v>
      </c>
      <c r="H81" s="1" t="s">
        <v>34</v>
      </c>
      <c r="I81" s="1">
        <v>1024270</v>
      </c>
      <c r="J81" s="1" t="s">
        <v>48</v>
      </c>
      <c r="K81" s="1" t="s">
        <v>35</v>
      </c>
      <c r="O81" s="1" t="s">
        <v>0</v>
      </c>
      <c r="Q81" s="1" t="s">
        <v>34</v>
      </c>
      <c r="R81" s="1" t="s">
        <v>34</v>
      </c>
      <c r="S81" s="1" t="s">
        <v>34</v>
      </c>
      <c r="T81" s="1" t="s">
        <v>34</v>
      </c>
      <c r="U81" s="1" t="s">
        <v>283</v>
      </c>
      <c r="V81" s="1" t="s">
        <v>34</v>
      </c>
      <c r="W81" s="1" t="s">
        <v>285</v>
      </c>
      <c r="X81" s="1" t="s">
        <v>284</v>
      </c>
    </row>
    <row r="82" spans="1:24" ht="30" x14ac:dyDescent="0.25">
      <c r="A82" s="1" t="s">
        <v>211</v>
      </c>
      <c r="B82" s="2" t="s">
        <v>212</v>
      </c>
      <c r="C82" s="2" t="s">
        <v>213</v>
      </c>
      <c r="D82" s="2" t="s">
        <v>48</v>
      </c>
      <c r="E82" s="2" t="s">
        <v>48</v>
      </c>
      <c r="F82" s="3">
        <v>9494203737</v>
      </c>
      <c r="G82" s="4" t="s">
        <v>48</v>
      </c>
      <c r="H82" s="1" t="s">
        <v>34</v>
      </c>
      <c r="I82" s="1">
        <v>996029</v>
      </c>
      <c r="J82" s="1" t="s">
        <v>48</v>
      </c>
      <c r="K82" s="1" t="s">
        <v>35</v>
      </c>
      <c r="L82" s="1" t="s">
        <v>961</v>
      </c>
      <c r="M82" s="1" t="s">
        <v>2</v>
      </c>
      <c r="N82" s="1" t="s">
        <v>3</v>
      </c>
      <c r="O82" s="1" t="s">
        <v>0</v>
      </c>
      <c r="P82" s="1" t="s">
        <v>1</v>
      </c>
      <c r="Q82" s="1" t="s">
        <v>36</v>
      </c>
      <c r="R82" s="1" t="s">
        <v>36</v>
      </c>
      <c r="S82" s="1" t="s">
        <v>34</v>
      </c>
      <c r="T82" s="1" t="s">
        <v>34</v>
      </c>
      <c r="U82" s="1" t="s">
        <v>1213</v>
      </c>
      <c r="V82" s="1" t="s">
        <v>1210</v>
      </c>
      <c r="W82" s="1" t="s">
        <v>1213</v>
      </c>
      <c r="X82" s="1" t="s">
        <v>1213</v>
      </c>
    </row>
    <row r="83" spans="1:24" ht="120" x14ac:dyDescent="0.25">
      <c r="A83" s="1" t="s">
        <v>896</v>
      </c>
      <c r="B83" s="2" t="s">
        <v>712</v>
      </c>
      <c r="C83" s="2" t="s">
        <v>713</v>
      </c>
      <c r="D83" s="2" t="s">
        <v>48</v>
      </c>
      <c r="E83" s="2" t="s">
        <v>48</v>
      </c>
      <c r="F83" s="3">
        <v>6612097987</v>
      </c>
      <c r="G83" s="4" t="s">
        <v>48</v>
      </c>
      <c r="H83" s="1" t="s">
        <v>34</v>
      </c>
      <c r="I83" s="1">
        <v>992209</v>
      </c>
      <c r="J83" s="1" t="s">
        <v>48</v>
      </c>
      <c r="K83" s="1" t="s">
        <v>35</v>
      </c>
      <c r="L83" s="1" t="s">
        <v>961</v>
      </c>
      <c r="M83" s="1" t="s">
        <v>2</v>
      </c>
      <c r="O83" s="1" t="s">
        <v>0</v>
      </c>
      <c r="Q83" s="1" t="s">
        <v>34</v>
      </c>
      <c r="R83" s="1" t="s">
        <v>34</v>
      </c>
      <c r="S83" s="1" t="s">
        <v>34</v>
      </c>
      <c r="T83" s="1" t="s">
        <v>36</v>
      </c>
      <c r="U83" s="1" t="s">
        <v>1213</v>
      </c>
      <c r="V83" s="1" t="s">
        <v>34</v>
      </c>
      <c r="W83" s="1" t="s">
        <v>714</v>
      </c>
      <c r="X83" s="1" t="s">
        <v>1081</v>
      </c>
    </row>
    <row r="84" spans="1:24" ht="90" x14ac:dyDescent="0.25">
      <c r="A84" s="1" t="s">
        <v>853</v>
      </c>
      <c r="B84" s="2" t="s">
        <v>585</v>
      </c>
      <c r="C84" s="2" t="s">
        <v>586</v>
      </c>
      <c r="D84" s="2" t="s">
        <v>48</v>
      </c>
      <c r="E84" s="2" t="s">
        <v>48</v>
      </c>
      <c r="F84" s="3">
        <v>8446783772</v>
      </c>
      <c r="G84" s="4" t="s">
        <v>48</v>
      </c>
      <c r="H84" s="1" t="s">
        <v>34</v>
      </c>
      <c r="I84" s="1">
        <v>995037</v>
      </c>
      <c r="J84" s="1" t="s">
        <v>48</v>
      </c>
      <c r="K84" s="1" t="s">
        <v>35</v>
      </c>
      <c r="M84" s="1" t="s">
        <v>2</v>
      </c>
      <c r="N84" s="1" t="s">
        <v>3</v>
      </c>
      <c r="O84" s="1" t="s">
        <v>0</v>
      </c>
      <c r="Q84" s="1" t="s">
        <v>34</v>
      </c>
      <c r="R84" s="1" t="s">
        <v>36</v>
      </c>
      <c r="S84" s="1" t="s">
        <v>34</v>
      </c>
      <c r="T84" s="1" t="s">
        <v>36</v>
      </c>
      <c r="U84" s="1" t="s">
        <v>1213</v>
      </c>
      <c r="V84" s="1" t="s">
        <v>34</v>
      </c>
      <c r="W84" s="1" t="s">
        <v>1011</v>
      </c>
      <c r="X84" s="1" t="s">
        <v>587</v>
      </c>
    </row>
    <row r="85" spans="1:24" ht="30" x14ac:dyDescent="0.25">
      <c r="A85" s="1" t="s">
        <v>1216</v>
      </c>
      <c r="B85" s="2" t="s">
        <v>434</v>
      </c>
      <c r="C85" s="2" t="s">
        <v>435</v>
      </c>
      <c r="D85" s="2" t="s">
        <v>48</v>
      </c>
      <c r="E85" s="2" t="s">
        <v>48</v>
      </c>
      <c r="F85" s="3">
        <v>4154542874</v>
      </c>
      <c r="G85" s="4" t="s">
        <v>48</v>
      </c>
      <c r="H85" s="1" t="s">
        <v>34</v>
      </c>
      <c r="I85" s="1">
        <v>815558</v>
      </c>
      <c r="J85" s="1" t="s">
        <v>48</v>
      </c>
      <c r="K85" s="1" t="s">
        <v>35</v>
      </c>
      <c r="O85" s="1" t="s">
        <v>0</v>
      </c>
      <c r="Q85" s="1" t="s">
        <v>36</v>
      </c>
      <c r="R85" s="1" t="s">
        <v>36</v>
      </c>
      <c r="S85" s="1" t="s">
        <v>36</v>
      </c>
      <c r="T85" s="1" t="s">
        <v>36</v>
      </c>
      <c r="U85" s="1" t="s">
        <v>1213</v>
      </c>
      <c r="V85" s="1" t="s">
        <v>1210</v>
      </c>
      <c r="W85" s="1" t="s">
        <v>1213</v>
      </c>
      <c r="X85" s="1" t="s">
        <v>1213</v>
      </c>
    </row>
    <row r="86" spans="1:24" ht="90" x14ac:dyDescent="0.25">
      <c r="A86" s="1" t="s">
        <v>537</v>
      </c>
      <c r="B86" s="2" t="s">
        <v>538</v>
      </c>
      <c r="C86" s="2" t="s">
        <v>539</v>
      </c>
      <c r="D86" s="2" t="s">
        <v>48</v>
      </c>
      <c r="E86" s="2" t="s">
        <v>48</v>
      </c>
      <c r="F86" s="3">
        <v>8775359992</v>
      </c>
      <c r="G86" s="4" t="s">
        <v>48</v>
      </c>
      <c r="H86" s="1" t="s">
        <v>34</v>
      </c>
      <c r="I86" s="1">
        <v>1009839</v>
      </c>
      <c r="J86" s="1" t="s">
        <v>48</v>
      </c>
      <c r="K86" s="1" t="s">
        <v>35</v>
      </c>
      <c r="O86" s="1" t="s">
        <v>0</v>
      </c>
      <c r="Q86" s="1" t="s">
        <v>34</v>
      </c>
      <c r="R86" s="1" t="s">
        <v>34</v>
      </c>
      <c r="S86" s="1" t="s">
        <v>34</v>
      </c>
      <c r="T86" s="1" t="s">
        <v>34</v>
      </c>
      <c r="U86" s="1" t="s">
        <v>540</v>
      </c>
      <c r="V86" s="1" t="s">
        <v>34</v>
      </c>
      <c r="W86" s="1" t="s">
        <v>1013</v>
      </c>
      <c r="X86" s="1" t="s">
        <v>1012</v>
      </c>
    </row>
    <row r="87" spans="1:24" ht="30" x14ac:dyDescent="0.25">
      <c r="A87" s="1" t="s">
        <v>526</v>
      </c>
      <c r="B87" s="2" t="s">
        <v>527</v>
      </c>
      <c r="C87" s="2" t="s">
        <v>528</v>
      </c>
      <c r="D87" s="2" t="s">
        <v>48</v>
      </c>
      <c r="E87" s="2" t="s">
        <v>48</v>
      </c>
      <c r="F87" s="3">
        <v>7074800213</v>
      </c>
      <c r="G87" s="4" t="s">
        <v>48</v>
      </c>
      <c r="H87" s="1" t="s">
        <v>34</v>
      </c>
      <c r="I87" s="1">
        <v>1039876</v>
      </c>
      <c r="J87" s="1" t="s">
        <v>48</v>
      </c>
      <c r="K87" s="1" t="s">
        <v>35</v>
      </c>
      <c r="L87" s="1" t="s">
        <v>961</v>
      </c>
      <c r="M87" s="1" t="s">
        <v>2</v>
      </c>
      <c r="O87" s="1" t="s">
        <v>0</v>
      </c>
      <c r="Q87" s="1" t="s">
        <v>1210</v>
      </c>
      <c r="R87" s="1" t="s">
        <v>1210</v>
      </c>
      <c r="S87" s="1" t="s">
        <v>1210</v>
      </c>
      <c r="T87" s="1" t="s">
        <v>36</v>
      </c>
      <c r="U87" s="1" t="s">
        <v>1213</v>
      </c>
      <c r="V87" s="1" t="s">
        <v>1210</v>
      </c>
      <c r="W87" s="1" t="s">
        <v>1213</v>
      </c>
      <c r="X87" s="1" t="s">
        <v>1213</v>
      </c>
    </row>
    <row r="88" spans="1:24" s="10" customFormat="1" ht="135" x14ac:dyDescent="0.25">
      <c r="A88" s="1" t="s">
        <v>275</v>
      </c>
      <c r="B88" s="2" t="s">
        <v>276</v>
      </c>
      <c r="C88" s="2" t="s">
        <v>277</v>
      </c>
      <c r="D88" s="2" t="s">
        <v>48</v>
      </c>
      <c r="E88" s="2" t="s">
        <v>48</v>
      </c>
      <c r="F88" s="3">
        <v>8552045083</v>
      </c>
      <c r="G88" s="4" t="s">
        <v>48</v>
      </c>
      <c r="H88" s="1" t="s">
        <v>34</v>
      </c>
      <c r="I88" s="1">
        <v>1029402</v>
      </c>
      <c r="J88" s="1" t="s">
        <v>48</v>
      </c>
      <c r="K88" s="1" t="s">
        <v>35</v>
      </c>
      <c r="L88" s="1" t="s">
        <v>961</v>
      </c>
      <c r="M88" s="1" t="s">
        <v>2</v>
      </c>
      <c r="N88" s="1" t="s">
        <v>3</v>
      </c>
      <c r="O88" s="1" t="s">
        <v>0</v>
      </c>
      <c r="P88" s="1" t="s">
        <v>1</v>
      </c>
      <c r="Q88" s="1" t="s">
        <v>34</v>
      </c>
      <c r="R88" s="1" t="s">
        <v>36</v>
      </c>
      <c r="S88" s="1" t="s">
        <v>34</v>
      </c>
      <c r="T88" s="1" t="s">
        <v>34</v>
      </c>
      <c r="U88" s="1" t="s">
        <v>975</v>
      </c>
      <c r="V88" s="1" t="s">
        <v>34</v>
      </c>
      <c r="W88" s="1" t="s">
        <v>1014</v>
      </c>
      <c r="X88" s="1" t="s">
        <v>1110</v>
      </c>
    </row>
    <row r="89" spans="1:24" ht="30" x14ac:dyDescent="0.25">
      <c r="A89" s="9" t="s">
        <v>253</v>
      </c>
      <c r="B89" s="10" t="s">
        <v>254</v>
      </c>
      <c r="C89" s="10" t="s">
        <v>255</v>
      </c>
      <c r="D89" s="10" t="s">
        <v>48</v>
      </c>
      <c r="E89" s="10" t="s">
        <v>48</v>
      </c>
      <c r="F89" s="11">
        <v>9092357760</v>
      </c>
      <c r="G89" s="12" t="s">
        <v>48</v>
      </c>
      <c r="H89" s="9" t="s">
        <v>34</v>
      </c>
      <c r="I89" s="9">
        <v>1029455</v>
      </c>
      <c r="J89" s="9" t="s">
        <v>48</v>
      </c>
      <c r="K89" s="9" t="s">
        <v>35</v>
      </c>
      <c r="L89" s="9"/>
      <c r="M89" s="9"/>
      <c r="N89" s="9"/>
      <c r="O89" s="9" t="s">
        <v>0</v>
      </c>
      <c r="P89" s="9"/>
      <c r="Q89" s="9" t="s">
        <v>34</v>
      </c>
      <c r="R89" s="9" t="s">
        <v>34</v>
      </c>
      <c r="S89" s="9" t="s">
        <v>34</v>
      </c>
      <c r="T89" s="9" t="s">
        <v>34</v>
      </c>
      <c r="U89" s="9" t="s">
        <v>256</v>
      </c>
      <c r="V89" s="9" t="s">
        <v>34</v>
      </c>
      <c r="W89" s="9" t="s">
        <v>257</v>
      </c>
      <c r="X89" s="9" t="s">
        <v>1082</v>
      </c>
    </row>
    <row r="90" spans="1:24" ht="60" x14ac:dyDescent="0.25">
      <c r="A90" s="1" t="s">
        <v>327</v>
      </c>
      <c r="B90" s="2" t="s">
        <v>328</v>
      </c>
      <c r="C90" s="2" t="s">
        <v>329</v>
      </c>
      <c r="D90" s="2" t="s">
        <v>48</v>
      </c>
      <c r="E90" s="2" t="s">
        <v>48</v>
      </c>
      <c r="F90" s="3">
        <v>7605343966</v>
      </c>
      <c r="G90" s="4" t="s">
        <v>48</v>
      </c>
      <c r="H90" s="1" t="s">
        <v>34</v>
      </c>
      <c r="I90" s="1">
        <v>1029455</v>
      </c>
      <c r="J90" s="1" t="s">
        <v>48</v>
      </c>
      <c r="Q90" s="1" t="s">
        <v>34</v>
      </c>
      <c r="R90" s="1" t="s">
        <v>34</v>
      </c>
      <c r="S90" s="1" t="s">
        <v>34</v>
      </c>
      <c r="T90" s="1" t="s">
        <v>36</v>
      </c>
      <c r="U90" s="1" t="s">
        <v>1213</v>
      </c>
      <c r="V90" s="1" t="s">
        <v>34</v>
      </c>
      <c r="W90" s="1" t="s">
        <v>1015</v>
      </c>
      <c r="X90" s="1" t="s">
        <v>1213</v>
      </c>
    </row>
    <row r="91" spans="1:24" ht="75" x14ac:dyDescent="0.25">
      <c r="A91" s="1" t="s">
        <v>929</v>
      </c>
      <c r="B91" s="2" t="s">
        <v>780</v>
      </c>
      <c r="C91" s="2" t="s">
        <v>781</v>
      </c>
      <c r="D91" s="2" t="s">
        <v>48</v>
      </c>
      <c r="E91" s="2" t="s">
        <v>48</v>
      </c>
      <c r="F91" s="3">
        <v>4084971579</v>
      </c>
      <c r="G91" s="4" t="s">
        <v>48</v>
      </c>
      <c r="H91" s="1" t="s">
        <v>34</v>
      </c>
      <c r="I91" s="1">
        <v>901992</v>
      </c>
      <c r="J91" s="1" t="s">
        <v>48</v>
      </c>
      <c r="L91" s="1" t="s">
        <v>44</v>
      </c>
      <c r="N91" s="1" t="s">
        <v>3</v>
      </c>
      <c r="Q91" s="1" t="s">
        <v>36</v>
      </c>
      <c r="R91" s="1" t="s">
        <v>36</v>
      </c>
      <c r="S91" s="1" t="s">
        <v>34</v>
      </c>
      <c r="T91" s="1" t="s">
        <v>36</v>
      </c>
      <c r="U91" s="1" t="s">
        <v>1213</v>
      </c>
      <c r="V91" s="1" t="s">
        <v>34</v>
      </c>
      <c r="W91" s="1" t="s">
        <v>1141</v>
      </c>
      <c r="X91" s="1" t="s">
        <v>782</v>
      </c>
    </row>
    <row r="92" spans="1:24" ht="30" x14ac:dyDescent="0.25">
      <c r="A92" s="1" t="s">
        <v>876</v>
      </c>
      <c r="B92" s="2" t="s">
        <v>645</v>
      </c>
      <c r="C92" s="2" t="s">
        <v>646</v>
      </c>
      <c r="D92" s="2" t="s">
        <v>48</v>
      </c>
      <c r="E92" s="2" t="s">
        <v>48</v>
      </c>
      <c r="F92" s="3">
        <v>8005053157</v>
      </c>
      <c r="G92" s="4" t="s">
        <v>48</v>
      </c>
      <c r="H92" s="1" t="s">
        <v>34</v>
      </c>
      <c r="I92" s="1">
        <v>967433</v>
      </c>
      <c r="J92" s="1" t="s">
        <v>48</v>
      </c>
      <c r="K92" s="1" t="s">
        <v>35</v>
      </c>
      <c r="L92" s="1" t="s">
        <v>961</v>
      </c>
      <c r="M92" s="1" t="s">
        <v>2</v>
      </c>
      <c r="N92" s="1" t="s">
        <v>3</v>
      </c>
      <c r="O92" s="1" t="s">
        <v>0</v>
      </c>
      <c r="Q92" s="1" t="s">
        <v>34</v>
      </c>
      <c r="R92" s="1" t="s">
        <v>36</v>
      </c>
      <c r="S92" s="1" t="s">
        <v>34</v>
      </c>
      <c r="T92" s="1" t="s">
        <v>36</v>
      </c>
      <c r="U92" s="1" t="s">
        <v>1213</v>
      </c>
      <c r="V92" s="1" t="s">
        <v>34</v>
      </c>
      <c r="W92" s="1" t="s">
        <v>647</v>
      </c>
      <c r="X92" s="1" t="s">
        <v>1213</v>
      </c>
    </row>
    <row r="93" spans="1:24" ht="30" x14ac:dyDescent="0.25">
      <c r="A93" s="1" t="s">
        <v>323</v>
      </c>
      <c r="B93" s="2" t="s">
        <v>324</v>
      </c>
      <c r="C93" s="2" t="s">
        <v>325</v>
      </c>
      <c r="D93" s="2" t="s">
        <v>48</v>
      </c>
      <c r="E93" s="2" t="s">
        <v>48</v>
      </c>
      <c r="F93" s="3">
        <v>8009850733</v>
      </c>
      <c r="G93" s="4" t="s">
        <v>48</v>
      </c>
      <c r="H93" s="1" t="s">
        <v>34</v>
      </c>
      <c r="I93" s="1">
        <v>463720</v>
      </c>
      <c r="J93" s="1" t="s">
        <v>48</v>
      </c>
      <c r="K93" s="1" t="s">
        <v>35</v>
      </c>
      <c r="L93" s="1" t="s">
        <v>961</v>
      </c>
      <c r="M93" s="1" t="s">
        <v>2</v>
      </c>
      <c r="N93" s="1" t="s">
        <v>3</v>
      </c>
      <c r="O93" s="1" t="s">
        <v>0</v>
      </c>
      <c r="Q93" s="1" t="s">
        <v>34</v>
      </c>
      <c r="R93" s="1" t="s">
        <v>36</v>
      </c>
      <c r="S93" s="1" t="s">
        <v>36</v>
      </c>
      <c r="T93" s="1" t="s">
        <v>34</v>
      </c>
      <c r="U93" s="1" t="s">
        <v>326</v>
      </c>
      <c r="V93" s="1" t="s">
        <v>1210</v>
      </c>
      <c r="W93" s="1" t="s">
        <v>1213</v>
      </c>
      <c r="X93" s="1" t="s">
        <v>1213</v>
      </c>
    </row>
    <row r="94" spans="1:24" ht="30" x14ac:dyDescent="0.25">
      <c r="A94" s="1" t="s">
        <v>930</v>
      </c>
      <c r="B94" s="5" t="s">
        <v>931</v>
      </c>
      <c r="C94" s="2" t="s">
        <v>783</v>
      </c>
      <c r="D94" s="2" t="s">
        <v>48</v>
      </c>
      <c r="E94" s="2" t="s">
        <v>48</v>
      </c>
      <c r="F94" s="3">
        <v>8589993929</v>
      </c>
      <c r="G94" s="4" t="s">
        <v>48</v>
      </c>
      <c r="H94" s="1" t="s">
        <v>34</v>
      </c>
      <c r="I94" s="1">
        <v>995108</v>
      </c>
      <c r="J94" s="1" t="s">
        <v>48</v>
      </c>
      <c r="K94" s="1" t="s">
        <v>35</v>
      </c>
      <c r="M94" s="1" t="s">
        <v>2</v>
      </c>
      <c r="N94" s="1" t="s">
        <v>3</v>
      </c>
      <c r="O94" s="1" t="s">
        <v>0</v>
      </c>
      <c r="Q94" s="1" t="s">
        <v>34</v>
      </c>
      <c r="R94" s="1" t="s">
        <v>34</v>
      </c>
      <c r="S94" s="1" t="s">
        <v>34</v>
      </c>
      <c r="T94" s="1" t="s">
        <v>36</v>
      </c>
      <c r="U94" s="1" t="s">
        <v>1213</v>
      </c>
      <c r="V94" s="1" t="s">
        <v>34</v>
      </c>
      <c r="W94" s="1" t="s">
        <v>784</v>
      </c>
      <c r="X94" s="1" t="s">
        <v>1142</v>
      </c>
    </row>
    <row r="95" spans="1:24" ht="30" x14ac:dyDescent="0.25">
      <c r="A95" s="1" t="s">
        <v>417</v>
      </c>
      <c r="B95" s="2" t="s">
        <v>418</v>
      </c>
      <c r="C95" s="2" t="s">
        <v>419</v>
      </c>
      <c r="D95" s="2" t="s">
        <v>48</v>
      </c>
      <c r="E95" s="2" t="s">
        <v>48</v>
      </c>
      <c r="F95" s="3">
        <v>8053200350</v>
      </c>
      <c r="G95" s="4" t="s">
        <v>48</v>
      </c>
      <c r="H95" s="1" t="s">
        <v>34</v>
      </c>
      <c r="I95" s="1">
        <v>972791</v>
      </c>
      <c r="J95" s="1" t="s">
        <v>48</v>
      </c>
      <c r="L95" s="1" t="s">
        <v>44</v>
      </c>
      <c r="O95" s="1" t="s">
        <v>0</v>
      </c>
      <c r="Q95" s="1" t="s">
        <v>1210</v>
      </c>
      <c r="R95" s="1" t="s">
        <v>1210</v>
      </c>
      <c r="S95" s="1" t="s">
        <v>1210</v>
      </c>
      <c r="T95" s="1" t="s">
        <v>34</v>
      </c>
      <c r="U95" s="1" t="s">
        <v>1213</v>
      </c>
      <c r="V95" s="1" t="s">
        <v>1210</v>
      </c>
      <c r="W95" s="1" t="s">
        <v>1213</v>
      </c>
      <c r="X95" s="1" t="s">
        <v>1213</v>
      </c>
    </row>
    <row r="96" spans="1:24" ht="60" x14ac:dyDescent="0.25">
      <c r="A96" s="1" t="s">
        <v>519</v>
      </c>
      <c r="B96" s="2" t="s">
        <v>520</v>
      </c>
      <c r="C96" s="2" t="s">
        <v>521</v>
      </c>
      <c r="D96" s="2" t="s">
        <v>48</v>
      </c>
      <c r="E96" s="2" t="s">
        <v>48</v>
      </c>
      <c r="F96" s="3">
        <v>5102928721</v>
      </c>
      <c r="G96" s="4" t="s">
        <v>48</v>
      </c>
      <c r="H96" s="1" t="s">
        <v>34</v>
      </c>
      <c r="I96" s="1">
        <v>1047853</v>
      </c>
      <c r="J96" s="1" t="s">
        <v>48</v>
      </c>
      <c r="K96" s="1" t="s">
        <v>35</v>
      </c>
      <c r="L96" s="1" t="s">
        <v>961</v>
      </c>
      <c r="M96" s="1" t="s">
        <v>2</v>
      </c>
      <c r="N96" s="1" t="s">
        <v>3</v>
      </c>
      <c r="O96" s="1" t="s">
        <v>0</v>
      </c>
      <c r="Q96" s="1" t="s">
        <v>34</v>
      </c>
      <c r="R96" s="1" t="s">
        <v>34</v>
      </c>
      <c r="S96" s="1" t="s">
        <v>34</v>
      </c>
      <c r="T96" s="1" t="s">
        <v>34</v>
      </c>
      <c r="U96" s="1" t="s">
        <v>1143</v>
      </c>
      <c r="V96" s="1" t="s">
        <v>34</v>
      </c>
      <c r="W96" s="1" t="s">
        <v>522</v>
      </c>
      <c r="X96" s="1" t="s">
        <v>1083</v>
      </c>
    </row>
    <row r="97" spans="1:24" ht="60" x14ac:dyDescent="0.25">
      <c r="A97" s="1" t="s">
        <v>487</v>
      </c>
      <c r="B97" s="2" t="s">
        <v>488</v>
      </c>
      <c r="C97" s="2" t="s">
        <v>489</v>
      </c>
      <c r="D97" s="2" t="s">
        <v>48</v>
      </c>
      <c r="E97" s="2" t="s">
        <v>48</v>
      </c>
      <c r="F97" s="3">
        <v>8665576937</v>
      </c>
      <c r="G97" s="4" t="s">
        <v>48</v>
      </c>
      <c r="H97" s="1" t="s">
        <v>34</v>
      </c>
      <c r="I97" s="1">
        <v>1014971</v>
      </c>
      <c r="J97" s="1" t="s">
        <v>48</v>
      </c>
      <c r="K97" s="1" t="s">
        <v>35</v>
      </c>
      <c r="L97" s="1" t="s">
        <v>961</v>
      </c>
      <c r="M97" s="1" t="s">
        <v>2</v>
      </c>
      <c r="N97" s="1" t="s">
        <v>3</v>
      </c>
      <c r="O97" s="1" t="s">
        <v>0</v>
      </c>
      <c r="Q97" s="1" t="s">
        <v>34</v>
      </c>
      <c r="R97" s="1" t="s">
        <v>34</v>
      </c>
      <c r="S97" s="1" t="s">
        <v>34</v>
      </c>
      <c r="T97" s="1" t="s">
        <v>36</v>
      </c>
      <c r="U97" s="1" t="s">
        <v>1213</v>
      </c>
      <c r="V97" s="1" t="s">
        <v>34</v>
      </c>
      <c r="W97" s="1" t="s">
        <v>490</v>
      </c>
      <c r="X97" s="1" t="s">
        <v>1144</v>
      </c>
    </row>
    <row r="98" spans="1:24" ht="30" x14ac:dyDescent="0.25">
      <c r="A98" s="1" t="s">
        <v>307</v>
      </c>
      <c r="B98" s="2" t="s">
        <v>308</v>
      </c>
      <c r="C98" s="2" t="s">
        <v>309</v>
      </c>
      <c r="D98" s="2" t="s">
        <v>48</v>
      </c>
      <c r="E98" s="2" t="s">
        <v>48</v>
      </c>
      <c r="F98" s="3">
        <v>8334276527</v>
      </c>
      <c r="G98" s="4" t="s">
        <v>48</v>
      </c>
      <c r="H98" s="1" t="s">
        <v>34</v>
      </c>
      <c r="I98" s="1">
        <v>940091</v>
      </c>
      <c r="J98" s="1" t="s">
        <v>48</v>
      </c>
      <c r="K98" s="1" t="s">
        <v>35</v>
      </c>
      <c r="M98" s="1" t="s">
        <v>2</v>
      </c>
      <c r="O98" s="1" t="s">
        <v>0</v>
      </c>
      <c r="Q98" s="1" t="s">
        <v>34</v>
      </c>
      <c r="R98" s="1" t="s">
        <v>36</v>
      </c>
      <c r="S98" s="1" t="s">
        <v>34</v>
      </c>
      <c r="T98" s="1" t="s">
        <v>36</v>
      </c>
      <c r="U98" s="1" t="s">
        <v>1213</v>
      </c>
      <c r="V98" s="1" t="s">
        <v>34</v>
      </c>
      <c r="W98" s="1" t="s">
        <v>311</v>
      </c>
      <c r="X98" s="1" t="s">
        <v>310</v>
      </c>
    </row>
    <row r="99" spans="1:24" ht="390" x14ac:dyDescent="0.25">
      <c r="A99" s="1" t="s">
        <v>296</v>
      </c>
      <c r="B99" s="2" t="s">
        <v>787</v>
      </c>
      <c r="C99" s="2" t="s">
        <v>788</v>
      </c>
      <c r="D99" s="2" t="s">
        <v>775</v>
      </c>
      <c r="E99" s="2" t="s">
        <v>48</v>
      </c>
      <c r="F99" s="3">
        <v>6613304325</v>
      </c>
      <c r="G99" s="3">
        <v>6615888000</v>
      </c>
      <c r="H99" s="1" t="s">
        <v>34</v>
      </c>
      <c r="I99" s="1">
        <v>825017</v>
      </c>
      <c r="J99" s="1">
        <v>1030700</v>
      </c>
      <c r="K99" s="1" t="s">
        <v>35</v>
      </c>
      <c r="L99" s="1" t="s">
        <v>961</v>
      </c>
      <c r="M99" s="1" t="s">
        <v>2</v>
      </c>
      <c r="N99" s="1" t="s">
        <v>3</v>
      </c>
      <c r="O99" s="1" t="s">
        <v>0</v>
      </c>
      <c r="P99" s="1" t="s">
        <v>1</v>
      </c>
      <c r="Q99" s="1" t="s">
        <v>34</v>
      </c>
      <c r="R99" s="1" t="s">
        <v>34</v>
      </c>
      <c r="S99" s="1" t="s">
        <v>34</v>
      </c>
      <c r="T99" s="1" t="s">
        <v>34</v>
      </c>
      <c r="U99" s="1" t="s">
        <v>1199</v>
      </c>
      <c r="V99" s="1" t="s">
        <v>34</v>
      </c>
      <c r="W99" s="1" t="s">
        <v>1146</v>
      </c>
      <c r="X99" s="1" t="s">
        <v>1145</v>
      </c>
    </row>
    <row r="100" spans="1:24" ht="75" x14ac:dyDescent="0.25">
      <c r="A100" s="1" t="s">
        <v>945</v>
      </c>
      <c r="B100" s="2" t="s">
        <v>825</v>
      </c>
      <c r="C100" s="2" t="s">
        <v>826</v>
      </c>
      <c r="D100" s="2" t="s">
        <v>48</v>
      </c>
      <c r="E100" s="2" t="s">
        <v>48</v>
      </c>
      <c r="F100" s="3">
        <v>4083550842</v>
      </c>
      <c r="G100" s="4" t="s">
        <v>48</v>
      </c>
      <c r="H100" s="1" t="s">
        <v>34</v>
      </c>
      <c r="I100" s="1">
        <v>946942</v>
      </c>
      <c r="J100" s="1" t="s">
        <v>48</v>
      </c>
      <c r="K100" s="1" t="s">
        <v>35</v>
      </c>
      <c r="M100" s="1" t="s">
        <v>2</v>
      </c>
      <c r="N100" s="1" t="s">
        <v>3</v>
      </c>
      <c r="O100" s="1" t="s">
        <v>0</v>
      </c>
      <c r="Q100" s="1" t="s">
        <v>34</v>
      </c>
      <c r="R100" s="1" t="s">
        <v>34</v>
      </c>
      <c r="S100" s="1" t="s">
        <v>34</v>
      </c>
      <c r="T100" s="1" t="s">
        <v>36</v>
      </c>
      <c r="U100" s="1" t="s">
        <v>1213</v>
      </c>
      <c r="V100" s="1" t="s">
        <v>34</v>
      </c>
      <c r="W100" s="1" t="s">
        <v>1016</v>
      </c>
      <c r="X100" s="1" t="s">
        <v>827</v>
      </c>
    </row>
    <row r="101" spans="1:24" ht="60" x14ac:dyDescent="0.25">
      <c r="A101" s="1" t="s">
        <v>261</v>
      </c>
      <c r="B101" s="2" t="s">
        <v>262</v>
      </c>
      <c r="C101" s="2" t="s">
        <v>263</v>
      </c>
      <c r="D101" s="2" t="s">
        <v>48</v>
      </c>
      <c r="E101" s="2" t="s">
        <v>48</v>
      </c>
      <c r="F101" s="3">
        <v>9254210411</v>
      </c>
      <c r="G101" s="4" t="s">
        <v>48</v>
      </c>
      <c r="H101" s="1" t="s">
        <v>34</v>
      </c>
      <c r="I101" s="1">
        <v>985920</v>
      </c>
      <c r="J101" s="1" t="s">
        <v>48</v>
      </c>
      <c r="K101" s="1" t="s">
        <v>35</v>
      </c>
      <c r="L101" s="1" t="s">
        <v>961</v>
      </c>
      <c r="M101" s="1" t="s">
        <v>2</v>
      </c>
      <c r="N101" s="1" t="s">
        <v>3</v>
      </c>
      <c r="O101" s="1" t="s">
        <v>0</v>
      </c>
      <c r="Q101" s="1" t="s">
        <v>36</v>
      </c>
      <c r="R101" s="1" t="s">
        <v>34</v>
      </c>
      <c r="S101" s="1" t="s">
        <v>34</v>
      </c>
      <c r="T101" s="1" t="s">
        <v>34</v>
      </c>
      <c r="U101" s="1" t="s">
        <v>976</v>
      </c>
      <c r="V101" s="1" t="s">
        <v>1210</v>
      </c>
      <c r="W101" s="1" t="s">
        <v>1213</v>
      </c>
      <c r="X101" s="1" t="s">
        <v>1147</v>
      </c>
    </row>
    <row r="102" spans="1:24" ht="45" x14ac:dyDescent="0.25">
      <c r="A102" s="1" t="s">
        <v>892</v>
      </c>
      <c r="B102" s="2" t="s">
        <v>1017</v>
      </c>
      <c r="C102" s="2" t="s">
        <v>1018</v>
      </c>
      <c r="D102" s="2" t="s">
        <v>48</v>
      </c>
      <c r="E102" s="2" t="s">
        <v>48</v>
      </c>
      <c r="F102" s="3">
        <v>3474155903</v>
      </c>
      <c r="G102" s="4" t="s">
        <v>48</v>
      </c>
      <c r="H102" s="1" t="s">
        <v>34</v>
      </c>
      <c r="I102" s="1">
        <v>927030</v>
      </c>
      <c r="J102" s="1" t="s">
        <v>48</v>
      </c>
      <c r="L102" s="1" t="s">
        <v>44</v>
      </c>
      <c r="N102" s="1" t="s">
        <v>3</v>
      </c>
      <c r="Q102" s="1" t="s">
        <v>34</v>
      </c>
      <c r="R102" s="1" t="s">
        <v>34</v>
      </c>
      <c r="S102" s="1" t="s">
        <v>34</v>
      </c>
      <c r="T102" s="1" t="s">
        <v>34</v>
      </c>
      <c r="U102" s="1" t="s">
        <v>696</v>
      </c>
      <c r="V102" s="1" t="s">
        <v>34</v>
      </c>
      <c r="W102" s="1" t="s">
        <v>698</v>
      </c>
      <c r="X102" s="1" t="s">
        <v>697</v>
      </c>
    </row>
    <row r="103" spans="1:24" ht="52.5" customHeight="1" x14ac:dyDescent="0.25">
      <c r="A103" s="1" t="s">
        <v>494</v>
      </c>
      <c r="B103" s="2" t="s">
        <v>495</v>
      </c>
      <c r="C103" s="2" t="s">
        <v>496</v>
      </c>
      <c r="D103" s="2" t="s">
        <v>48</v>
      </c>
      <c r="E103" s="2" t="s">
        <v>48</v>
      </c>
      <c r="F103" s="3">
        <v>5104275406</v>
      </c>
      <c r="G103" s="4" t="s">
        <v>48</v>
      </c>
      <c r="H103" s="1" t="s">
        <v>34</v>
      </c>
      <c r="I103" s="1">
        <v>998581</v>
      </c>
      <c r="J103" s="1" t="s">
        <v>48</v>
      </c>
      <c r="K103" s="1" t="s">
        <v>35</v>
      </c>
      <c r="L103" s="1" t="s">
        <v>961</v>
      </c>
      <c r="M103" s="1" t="s">
        <v>2</v>
      </c>
      <c r="N103" s="1" t="s">
        <v>3</v>
      </c>
      <c r="O103" s="1" t="s">
        <v>0</v>
      </c>
      <c r="Q103" s="1" t="s">
        <v>34</v>
      </c>
      <c r="R103" s="1" t="s">
        <v>36</v>
      </c>
      <c r="S103" s="1" t="s">
        <v>34</v>
      </c>
      <c r="T103" s="1" t="s">
        <v>36</v>
      </c>
      <c r="U103" s="1" t="s">
        <v>1213</v>
      </c>
      <c r="V103" s="1" t="s">
        <v>34</v>
      </c>
      <c r="W103" s="1" t="s">
        <v>1020</v>
      </c>
      <c r="X103" s="1" t="s">
        <v>1019</v>
      </c>
    </row>
    <row r="104" spans="1:24" ht="375" x14ac:dyDescent="0.25">
      <c r="A104" s="1" t="s">
        <v>99</v>
      </c>
      <c r="B104" s="2" t="s">
        <v>100</v>
      </c>
      <c r="C104" s="2" t="s">
        <v>101</v>
      </c>
      <c r="D104" s="2" t="s">
        <v>48</v>
      </c>
      <c r="E104" s="2" t="s">
        <v>48</v>
      </c>
      <c r="F104" s="3">
        <v>5107311310</v>
      </c>
      <c r="G104" s="4" t="s">
        <v>48</v>
      </c>
      <c r="H104" s="1" t="s">
        <v>34</v>
      </c>
      <c r="I104" s="1">
        <v>867533</v>
      </c>
      <c r="J104" s="1" t="s">
        <v>48</v>
      </c>
      <c r="K104" s="1" t="s">
        <v>35</v>
      </c>
      <c r="L104" s="1" t="s">
        <v>961</v>
      </c>
      <c r="M104" s="1" t="s">
        <v>2</v>
      </c>
      <c r="N104" s="1" t="s">
        <v>3</v>
      </c>
      <c r="O104" s="1" t="s">
        <v>0</v>
      </c>
      <c r="P104" s="1" t="s">
        <v>1</v>
      </c>
      <c r="Q104" s="1" t="s">
        <v>34</v>
      </c>
      <c r="R104" s="1" t="s">
        <v>34</v>
      </c>
      <c r="S104" s="1" t="s">
        <v>34</v>
      </c>
      <c r="T104" s="1" t="s">
        <v>34</v>
      </c>
      <c r="U104" s="1" t="s">
        <v>1200</v>
      </c>
      <c r="V104" s="1" t="s">
        <v>34</v>
      </c>
      <c r="W104" s="1" t="s">
        <v>1148</v>
      </c>
      <c r="X104" s="1" t="s">
        <v>1111</v>
      </c>
    </row>
    <row r="105" spans="1:24" ht="45" x14ac:dyDescent="0.25">
      <c r="A105" s="1" t="s">
        <v>852</v>
      </c>
      <c r="B105" s="2" t="s">
        <v>579</v>
      </c>
      <c r="C105" s="2" t="s">
        <v>580</v>
      </c>
      <c r="D105" s="2" t="s">
        <v>48</v>
      </c>
      <c r="E105" s="2" t="s">
        <v>48</v>
      </c>
      <c r="F105" s="3">
        <v>4243940043</v>
      </c>
      <c r="G105" s="4" t="s">
        <v>48</v>
      </c>
      <c r="H105" s="1" t="s">
        <v>34</v>
      </c>
      <c r="I105" s="1">
        <v>1054222</v>
      </c>
      <c r="J105" s="1" t="s">
        <v>48</v>
      </c>
      <c r="L105" s="1" t="s">
        <v>44</v>
      </c>
      <c r="N105" s="1" t="s">
        <v>3</v>
      </c>
      <c r="Q105" s="1" t="s">
        <v>34</v>
      </c>
      <c r="R105" s="1" t="s">
        <v>34</v>
      </c>
      <c r="S105" s="1" t="s">
        <v>34</v>
      </c>
      <c r="T105" s="1" t="s">
        <v>34</v>
      </c>
      <c r="U105" s="1" t="s">
        <v>977</v>
      </c>
      <c r="V105" s="1" t="s">
        <v>34</v>
      </c>
      <c r="W105" s="1" t="s">
        <v>581</v>
      </c>
      <c r="X105" s="1" t="s">
        <v>1084</v>
      </c>
    </row>
    <row r="106" spans="1:24" ht="30" x14ac:dyDescent="0.25">
      <c r="A106" s="1" t="s">
        <v>167</v>
      </c>
      <c r="B106" s="2" t="s">
        <v>168</v>
      </c>
      <c r="C106" s="2" t="s">
        <v>169</v>
      </c>
      <c r="D106" s="2" t="s">
        <v>226</v>
      </c>
      <c r="E106" s="2" t="s">
        <v>48</v>
      </c>
      <c r="F106" s="3">
        <v>5302275268</v>
      </c>
      <c r="G106" s="4" t="s">
        <v>48</v>
      </c>
      <c r="H106" s="1" t="s">
        <v>34</v>
      </c>
      <c r="I106" s="1">
        <v>1004696</v>
      </c>
      <c r="J106" s="1" t="s">
        <v>48</v>
      </c>
      <c r="K106" s="1" t="s">
        <v>35</v>
      </c>
      <c r="L106" s="1" t="s">
        <v>44</v>
      </c>
      <c r="M106" s="1" t="s">
        <v>2</v>
      </c>
      <c r="N106" s="1" t="s">
        <v>3</v>
      </c>
      <c r="O106" s="1" t="s">
        <v>0</v>
      </c>
      <c r="Q106" s="1" t="s">
        <v>34</v>
      </c>
      <c r="R106" s="1" t="s">
        <v>34</v>
      </c>
      <c r="S106" s="1" t="s">
        <v>34</v>
      </c>
      <c r="T106" s="1" t="s">
        <v>36</v>
      </c>
      <c r="U106" s="1" t="s">
        <v>1213</v>
      </c>
      <c r="V106" s="1" t="s">
        <v>34</v>
      </c>
      <c r="W106" s="1" t="s">
        <v>170</v>
      </c>
      <c r="X106" s="1" t="s">
        <v>1022</v>
      </c>
    </row>
    <row r="107" spans="1:24" ht="120" x14ac:dyDescent="0.25">
      <c r="A107" s="1" t="s">
        <v>859</v>
      </c>
      <c r="B107" s="2" t="s">
        <v>600</v>
      </c>
      <c r="C107" s="2" t="s">
        <v>601</v>
      </c>
      <c r="D107" s="2" t="s">
        <v>48</v>
      </c>
      <c r="E107" s="2" t="s">
        <v>48</v>
      </c>
      <c r="F107" s="3">
        <v>7609490480</v>
      </c>
      <c r="G107" s="4" t="s">
        <v>48</v>
      </c>
      <c r="H107" s="1" t="s">
        <v>34</v>
      </c>
      <c r="I107" s="1">
        <v>534390</v>
      </c>
      <c r="J107" s="1" t="s">
        <v>48</v>
      </c>
      <c r="K107" s="1" t="s">
        <v>35</v>
      </c>
      <c r="L107" s="1" t="s">
        <v>961</v>
      </c>
      <c r="M107" s="1" t="s">
        <v>2</v>
      </c>
      <c r="N107" s="1" t="s">
        <v>3</v>
      </c>
      <c r="O107" s="1" t="s">
        <v>0</v>
      </c>
      <c r="P107" s="1" t="s">
        <v>1</v>
      </c>
      <c r="Q107" s="1" t="s">
        <v>34</v>
      </c>
      <c r="R107" s="1" t="s">
        <v>34</v>
      </c>
      <c r="S107" s="1" t="s">
        <v>34</v>
      </c>
      <c r="T107" s="1" t="s">
        <v>34</v>
      </c>
      <c r="U107" s="1" t="s">
        <v>1149</v>
      </c>
      <c r="V107" s="1" t="s">
        <v>34</v>
      </c>
      <c r="W107" s="1" t="s">
        <v>1150</v>
      </c>
      <c r="X107" s="1" t="s">
        <v>1085</v>
      </c>
    </row>
    <row r="108" spans="1:24" ht="30" x14ac:dyDescent="0.25">
      <c r="A108" s="1" t="s">
        <v>873</v>
      </c>
      <c r="B108" s="2" t="s">
        <v>639</v>
      </c>
      <c r="C108" s="2" t="s">
        <v>640</v>
      </c>
      <c r="D108" s="2" t="s">
        <v>48</v>
      </c>
      <c r="E108" s="2" t="s">
        <v>48</v>
      </c>
      <c r="F108" s="3">
        <v>8007693746</v>
      </c>
      <c r="G108" s="4" t="s">
        <v>48</v>
      </c>
      <c r="H108" s="1" t="s">
        <v>34</v>
      </c>
      <c r="I108" s="1">
        <v>990803</v>
      </c>
      <c r="J108" s="1" t="s">
        <v>48</v>
      </c>
      <c r="L108" s="1" t="s">
        <v>44</v>
      </c>
      <c r="N108" s="1" t="s">
        <v>3</v>
      </c>
      <c r="Q108" s="1" t="s">
        <v>34</v>
      </c>
      <c r="R108" s="1" t="s">
        <v>36</v>
      </c>
      <c r="S108" s="1" t="s">
        <v>34</v>
      </c>
      <c r="T108" s="1" t="s">
        <v>36</v>
      </c>
      <c r="U108" s="1" t="s">
        <v>1213</v>
      </c>
      <c r="V108" s="1" t="s">
        <v>1210</v>
      </c>
      <c r="W108" s="1" t="s">
        <v>1213</v>
      </c>
      <c r="X108" s="1" t="s">
        <v>1213</v>
      </c>
    </row>
    <row r="109" spans="1:24" ht="30" x14ac:dyDescent="0.25">
      <c r="A109" s="1" t="s">
        <v>946</v>
      </c>
      <c r="C109" s="2" t="s">
        <v>828</v>
      </c>
      <c r="D109" s="2" t="s">
        <v>48</v>
      </c>
      <c r="E109" s="2" t="s">
        <v>48</v>
      </c>
      <c r="F109" s="3">
        <v>7075025454</v>
      </c>
      <c r="G109" s="4" t="s">
        <v>48</v>
      </c>
      <c r="H109" s="1" t="s">
        <v>34</v>
      </c>
      <c r="I109" s="1">
        <v>814866</v>
      </c>
      <c r="J109" s="1" t="s">
        <v>48</v>
      </c>
      <c r="K109" s="1" t="s">
        <v>35</v>
      </c>
      <c r="L109" s="1" t="s">
        <v>961</v>
      </c>
      <c r="M109" s="1" t="s">
        <v>2</v>
      </c>
      <c r="N109" s="1" t="s">
        <v>3</v>
      </c>
      <c r="O109" s="1" t="s">
        <v>0</v>
      </c>
      <c r="Q109" s="1" t="s">
        <v>34</v>
      </c>
      <c r="R109" s="1" t="s">
        <v>34</v>
      </c>
      <c r="S109" s="1" t="s">
        <v>34</v>
      </c>
      <c r="T109" s="1" t="s">
        <v>36</v>
      </c>
      <c r="U109" s="1" t="s">
        <v>1213</v>
      </c>
      <c r="V109" s="1" t="s">
        <v>1210</v>
      </c>
      <c r="W109" s="1" t="s">
        <v>1213</v>
      </c>
      <c r="X109" s="1" t="s">
        <v>829</v>
      </c>
    </row>
    <row r="110" spans="1:24" ht="105" x14ac:dyDescent="0.25">
      <c r="A110" s="1" t="s">
        <v>485</v>
      </c>
      <c r="B110" s="2" t="s">
        <v>823</v>
      </c>
      <c r="C110" s="2" t="s">
        <v>486</v>
      </c>
      <c r="D110" s="2" t="s">
        <v>824</v>
      </c>
      <c r="E110" s="2" t="s">
        <v>48</v>
      </c>
      <c r="F110" s="3">
        <v>6196922015</v>
      </c>
      <c r="G110" s="4" t="s">
        <v>48</v>
      </c>
      <c r="H110" s="1" t="s">
        <v>34</v>
      </c>
      <c r="I110" s="1">
        <v>800657</v>
      </c>
      <c r="J110" s="1" t="s">
        <v>48</v>
      </c>
      <c r="K110" s="1" t="s">
        <v>35</v>
      </c>
      <c r="L110" s="1" t="s">
        <v>961</v>
      </c>
      <c r="M110" s="1" t="s">
        <v>2</v>
      </c>
      <c r="N110" s="1" t="s">
        <v>3</v>
      </c>
      <c r="O110" s="1" t="s">
        <v>0</v>
      </c>
      <c r="Q110" s="1" t="s">
        <v>34</v>
      </c>
      <c r="R110" s="1" t="s">
        <v>34</v>
      </c>
      <c r="S110" s="1" t="s">
        <v>34</v>
      </c>
      <c r="T110" s="1" t="s">
        <v>34</v>
      </c>
      <c r="U110" s="1" t="s">
        <v>1218</v>
      </c>
      <c r="V110" s="1" t="s">
        <v>34</v>
      </c>
      <c r="W110" s="1" t="s">
        <v>1070</v>
      </c>
      <c r="X110" s="1" t="s">
        <v>1023</v>
      </c>
    </row>
    <row r="111" spans="1:24" ht="240" x14ac:dyDescent="0.25">
      <c r="A111" s="1" t="s">
        <v>115</v>
      </c>
      <c r="B111" s="2" t="s">
        <v>116</v>
      </c>
      <c r="C111" s="2" t="s">
        <v>117</v>
      </c>
      <c r="D111" s="2" t="s">
        <v>48</v>
      </c>
      <c r="E111" s="2" t="s">
        <v>48</v>
      </c>
      <c r="F111" s="3">
        <v>8669269997</v>
      </c>
      <c r="G111" s="4" t="s">
        <v>48</v>
      </c>
      <c r="H111" s="1" t="s">
        <v>34</v>
      </c>
      <c r="I111" s="1">
        <v>960376</v>
      </c>
      <c r="J111" s="1" t="s">
        <v>48</v>
      </c>
      <c r="K111" s="1" t="s">
        <v>35</v>
      </c>
      <c r="M111" s="1" t="s">
        <v>2</v>
      </c>
      <c r="N111" s="1" t="s">
        <v>3</v>
      </c>
      <c r="O111" s="1" t="s">
        <v>0</v>
      </c>
      <c r="P111" s="1" t="s">
        <v>1</v>
      </c>
      <c r="Q111" s="1" t="s">
        <v>34</v>
      </c>
      <c r="R111" s="1" t="s">
        <v>36</v>
      </c>
      <c r="S111" s="1" t="s">
        <v>34</v>
      </c>
      <c r="T111" s="1" t="s">
        <v>36</v>
      </c>
      <c r="U111" s="1" t="s">
        <v>1213</v>
      </c>
      <c r="V111" s="1" t="s">
        <v>34</v>
      </c>
      <c r="W111" s="1" t="s">
        <v>1152</v>
      </c>
      <c r="X111" s="1" t="s">
        <v>1151</v>
      </c>
    </row>
    <row r="112" spans="1:24" ht="30" x14ac:dyDescent="0.25">
      <c r="A112" s="1" t="s">
        <v>920</v>
      </c>
      <c r="B112" s="2" t="s">
        <v>762</v>
      </c>
      <c r="C112" s="2" t="s">
        <v>763</v>
      </c>
      <c r="D112" s="2" t="s">
        <v>48</v>
      </c>
      <c r="E112" s="2" t="s">
        <v>48</v>
      </c>
      <c r="F112" s="3">
        <v>6198224828</v>
      </c>
      <c r="G112" s="4" t="s">
        <v>48</v>
      </c>
      <c r="H112" s="1" t="s">
        <v>34</v>
      </c>
      <c r="I112" s="1">
        <v>1018672</v>
      </c>
      <c r="J112" s="1" t="s">
        <v>48</v>
      </c>
      <c r="L112" s="1" t="s">
        <v>44</v>
      </c>
      <c r="O112" s="1" t="s">
        <v>0</v>
      </c>
      <c r="P112" s="1" t="s">
        <v>1</v>
      </c>
      <c r="Q112" s="1" t="s">
        <v>34</v>
      </c>
      <c r="R112" s="1" t="s">
        <v>36</v>
      </c>
      <c r="S112" s="1" t="s">
        <v>34</v>
      </c>
      <c r="T112" s="1" t="s">
        <v>34</v>
      </c>
      <c r="U112" s="1" t="s">
        <v>764</v>
      </c>
      <c r="V112" s="1" t="s">
        <v>1210</v>
      </c>
      <c r="W112" s="1" t="s">
        <v>1213</v>
      </c>
      <c r="X112" s="1" t="s">
        <v>1213</v>
      </c>
    </row>
    <row r="113" spans="1:24" ht="30" x14ac:dyDescent="0.25">
      <c r="A113" s="1" t="s">
        <v>916</v>
      </c>
      <c r="B113" s="2" t="s">
        <v>755</v>
      </c>
      <c r="C113" s="2" t="s">
        <v>756</v>
      </c>
      <c r="D113" s="2" t="s">
        <v>48</v>
      </c>
      <c r="E113" s="2" t="s">
        <v>48</v>
      </c>
      <c r="F113" s="3">
        <v>4082544663</v>
      </c>
      <c r="G113" s="4" t="s">
        <v>48</v>
      </c>
      <c r="H113" s="1" t="s">
        <v>34</v>
      </c>
      <c r="I113" s="1">
        <v>820184</v>
      </c>
      <c r="J113" s="1" t="s">
        <v>48</v>
      </c>
      <c r="K113" s="1" t="s">
        <v>35</v>
      </c>
      <c r="L113" s="1" t="s">
        <v>961</v>
      </c>
      <c r="M113" s="1" t="s">
        <v>2</v>
      </c>
      <c r="N113" s="1" t="s">
        <v>3</v>
      </c>
      <c r="O113" s="1" t="s">
        <v>0</v>
      </c>
      <c r="P113" s="1" t="s">
        <v>1</v>
      </c>
      <c r="Q113" s="1" t="s">
        <v>34</v>
      </c>
      <c r="R113" s="1" t="s">
        <v>34</v>
      </c>
      <c r="S113" s="1" t="s">
        <v>34</v>
      </c>
      <c r="T113" s="1" t="s">
        <v>34</v>
      </c>
      <c r="U113" s="1" t="s">
        <v>1153</v>
      </c>
      <c r="V113" s="1" t="s">
        <v>34</v>
      </c>
      <c r="W113" s="1" t="s">
        <v>1024</v>
      </c>
      <c r="X113" s="1" t="s">
        <v>1086</v>
      </c>
    </row>
    <row r="114" spans="1:24" ht="30" x14ac:dyDescent="0.25">
      <c r="A114" s="1" t="s">
        <v>134</v>
      </c>
      <c r="B114" s="2" t="s">
        <v>134</v>
      </c>
      <c r="C114" s="2" t="s">
        <v>135</v>
      </c>
      <c r="D114" s="2" t="s">
        <v>48</v>
      </c>
      <c r="E114" s="2" t="s">
        <v>48</v>
      </c>
      <c r="F114" s="3">
        <v>6199618914</v>
      </c>
      <c r="G114" s="4" t="s">
        <v>48</v>
      </c>
      <c r="H114" s="1" t="s">
        <v>34</v>
      </c>
      <c r="I114" s="1">
        <v>1004233</v>
      </c>
      <c r="J114" s="1" t="s">
        <v>48</v>
      </c>
      <c r="K114" s="1" t="s">
        <v>35</v>
      </c>
      <c r="M114" s="1" t="s">
        <v>2</v>
      </c>
      <c r="N114" s="1" t="s">
        <v>3</v>
      </c>
      <c r="O114" s="1" t="s">
        <v>0</v>
      </c>
      <c r="Q114" s="1" t="s">
        <v>34</v>
      </c>
      <c r="R114" s="1" t="s">
        <v>36</v>
      </c>
      <c r="S114" s="1" t="s">
        <v>34</v>
      </c>
      <c r="T114" s="1" t="s">
        <v>36</v>
      </c>
      <c r="U114" s="1" t="s">
        <v>1213</v>
      </c>
      <c r="V114" s="1" t="s">
        <v>1210</v>
      </c>
      <c r="W114" s="1" t="s">
        <v>1213</v>
      </c>
      <c r="X114" s="1" t="s">
        <v>1213</v>
      </c>
    </row>
    <row r="115" spans="1:24" ht="75" x14ac:dyDescent="0.25">
      <c r="A115" s="1" t="s">
        <v>875</v>
      </c>
      <c r="B115" s="5" t="s">
        <v>904</v>
      </c>
      <c r="C115" s="2" t="s">
        <v>643</v>
      </c>
      <c r="D115" s="2" t="s">
        <v>678</v>
      </c>
      <c r="E115" s="2" t="s">
        <v>48</v>
      </c>
      <c r="F115" s="3">
        <v>7603224433</v>
      </c>
      <c r="G115" s="4" t="s">
        <v>48</v>
      </c>
      <c r="H115" s="1" t="s">
        <v>34</v>
      </c>
      <c r="I115" s="1">
        <v>940550</v>
      </c>
      <c r="J115" s="1" t="s">
        <v>48</v>
      </c>
      <c r="K115" s="1" t="s">
        <v>35</v>
      </c>
      <c r="L115" s="1" t="s">
        <v>961</v>
      </c>
      <c r="M115" s="1" t="s">
        <v>2</v>
      </c>
      <c r="N115" s="1" t="s">
        <v>3</v>
      </c>
      <c r="O115" s="1" t="s">
        <v>0</v>
      </c>
      <c r="P115" s="1" t="s">
        <v>1</v>
      </c>
      <c r="Q115" s="1" t="s">
        <v>36</v>
      </c>
      <c r="R115" s="1" t="s">
        <v>34</v>
      </c>
      <c r="S115" s="1" t="s">
        <v>34</v>
      </c>
      <c r="T115" s="1" t="s">
        <v>34</v>
      </c>
      <c r="U115" s="1" t="s">
        <v>728</v>
      </c>
      <c r="V115" s="1" t="s">
        <v>34</v>
      </c>
      <c r="W115" s="1" t="s">
        <v>1219</v>
      </c>
      <c r="X115" s="1" t="s">
        <v>644</v>
      </c>
    </row>
    <row r="116" spans="1:24" ht="30" x14ac:dyDescent="0.25">
      <c r="A116" s="1" t="s">
        <v>37</v>
      </c>
      <c r="B116" s="2" t="s">
        <v>38</v>
      </c>
      <c r="C116" s="2" t="s">
        <v>39</v>
      </c>
      <c r="D116" s="2" t="s">
        <v>48</v>
      </c>
      <c r="E116" s="2" t="s">
        <v>48</v>
      </c>
      <c r="F116" s="3">
        <v>5105084466</v>
      </c>
      <c r="G116" s="4" t="s">
        <v>48</v>
      </c>
      <c r="H116" s="1" t="s">
        <v>34</v>
      </c>
      <c r="I116" s="1">
        <v>874035</v>
      </c>
      <c r="J116" s="1" t="s">
        <v>48</v>
      </c>
      <c r="K116" s="1" t="s">
        <v>35</v>
      </c>
      <c r="M116" s="1" t="s">
        <v>2</v>
      </c>
      <c r="O116" s="1" t="s">
        <v>0</v>
      </c>
      <c r="Q116" s="1" t="s">
        <v>34</v>
      </c>
      <c r="R116" s="1" t="s">
        <v>34</v>
      </c>
      <c r="S116" s="1" t="s">
        <v>34</v>
      </c>
      <c r="T116" s="1" t="s">
        <v>34</v>
      </c>
      <c r="U116" s="1" t="s">
        <v>40</v>
      </c>
      <c r="V116" s="1" t="s">
        <v>1210</v>
      </c>
      <c r="W116" s="1" t="s">
        <v>1213</v>
      </c>
      <c r="X116" s="1" t="s">
        <v>1213</v>
      </c>
    </row>
    <row r="117" spans="1:24" ht="60" x14ac:dyDescent="0.25">
      <c r="A117" s="1" t="s">
        <v>220</v>
      </c>
      <c r="B117" s="2" t="s">
        <v>221</v>
      </c>
      <c r="C117" s="2" t="s">
        <v>222</v>
      </c>
      <c r="D117" s="2" t="s">
        <v>48</v>
      </c>
      <c r="E117" s="2" t="s">
        <v>48</v>
      </c>
      <c r="F117" s="3">
        <v>4084063591</v>
      </c>
      <c r="G117" s="4" t="s">
        <v>48</v>
      </c>
      <c r="H117" s="1" t="s">
        <v>34</v>
      </c>
      <c r="I117" s="1">
        <v>999397</v>
      </c>
      <c r="J117" s="1" t="s">
        <v>48</v>
      </c>
      <c r="L117" s="1" t="s">
        <v>44</v>
      </c>
      <c r="O117" s="1" t="s">
        <v>0</v>
      </c>
      <c r="Q117" s="1" t="s">
        <v>34</v>
      </c>
      <c r="R117" s="1" t="s">
        <v>36</v>
      </c>
      <c r="S117" s="1" t="s">
        <v>34</v>
      </c>
      <c r="T117" s="1" t="s">
        <v>34</v>
      </c>
      <c r="U117" s="1" t="s">
        <v>1154</v>
      </c>
      <c r="V117" s="1" t="s">
        <v>34</v>
      </c>
      <c r="W117" s="1" t="s">
        <v>223</v>
      </c>
      <c r="X117" s="1" t="s">
        <v>1087</v>
      </c>
    </row>
    <row r="118" spans="1:24" ht="30" x14ac:dyDescent="0.25">
      <c r="A118" s="1" t="s">
        <v>858</v>
      </c>
      <c r="B118" s="2" t="s">
        <v>597</v>
      </c>
      <c r="C118" s="2" t="s">
        <v>598</v>
      </c>
      <c r="D118" s="2" t="s">
        <v>48</v>
      </c>
      <c r="E118" s="2" t="s">
        <v>48</v>
      </c>
      <c r="F118" s="3">
        <v>8776076527</v>
      </c>
      <c r="G118" s="4" t="s">
        <v>48</v>
      </c>
      <c r="H118" s="1" t="s">
        <v>34</v>
      </c>
      <c r="I118" s="1">
        <v>1028965</v>
      </c>
      <c r="J118" s="1" t="s">
        <v>48</v>
      </c>
      <c r="K118" s="1" t="s">
        <v>35</v>
      </c>
      <c r="M118" s="1" t="s">
        <v>2</v>
      </c>
      <c r="O118" s="1" t="s">
        <v>0</v>
      </c>
      <c r="Q118" s="1" t="s">
        <v>34</v>
      </c>
      <c r="R118" s="1" t="s">
        <v>36</v>
      </c>
      <c r="S118" s="1" t="s">
        <v>34</v>
      </c>
      <c r="T118" s="1" t="s">
        <v>34</v>
      </c>
      <c r="U118" s="1" t="s">
        <v>599</v>
      </c>
      <c r="V118" s="1" t="s">
        <v>1210</v>
      </c>
      <c r="W118" s="1" t="s">
        <v>1213</v>
      </c>
      <c r="X118" s="1" t="s">
        <v>1213</v>
      </c>
    </row>
    <row r="119" spans="1:24" ht="45" x14ac:dyDescent="0.25">
      <c r="A119" s="1" t="s">
        <v>272</v>
      </c>
      <c r="B119" s="2" t="s">
        <v>273</v>
      </c>
      <c r="C119" s="2" t="s">
        <v>1025</v>
      </c>
      <c r="D119" s="2" t="s">
        <v>48</v>
      </c>
      <c r="E119" s="2" t="s">
        <v>48</v>
      </c>
      <c r="F119" s="3">
        <v>8886964586</v>
      </c>
      <c r="G119" s="4" t="s">
        <v>48</v>
      </c>
      <c r="H119" s="1" t="s">
        <v>34</v>
      </c>
      <c r="I119" s="1">
        <v>1009260</v>
      </c>
      <c r="J119" s="1" t="s">
        <v>48</v>
      </c>
      <c r="K119" s="1" t="s">
        <v>35</v>
      </c>
      <c r="M119" s="1" t="s">
        <v>2</v>
      </c>
      <c r="O119" s="1" t="s">
        <v>0</v>
      </c>
      <c r="Q119" s="1" t="s">
        <v>36</v>
      </c>
      <c r="R119" s="1" t="s">
        <v>34</v>
      </c>
      <c r="S119" s="1" t="s">
        <v>34</v>
      </c>
      <c r="T119" s="1" t="s">
        <v>34</v>
      </c>
      <c r="U119" s="1" t="s">
        <v>978</v>
      </c>
      <c r="V119" s="1" t="s">
        <v>1210</v>
      </c>
      <c r="W119" s="1" t="s">
        <v>1213</v>
      </c>
      <c r="X119" s="1" t="s">
        <v>274</v>
      </c>
    </row>
    <row r="120" spans="1:24" ht="60" x14ac:dyDescent="0.25">
      <c r="A120" s="1" t="s">
        <v>52</v>
      </c>
      <c r="B120" s="2" t="s">
        <v>53</v>
      </c>
      <c r="C120" s="2" t="s">
        <v>54</v>
      </c>
      <c r="D120" s="2" t="s">
        <v>48</v>
      </c>
      <c r="E120" s="2" t="s">
        <v>48</v>
      </c>
      <c r="F120" s="3">
        <v>8589520252</v>
      </c>
      <c r="G120" s="4" t="s">
        <v>48</v>
      </c>
      <c r="H120" s="1" t="s">
        <v>34</v>
      </c>
      <c r="I120" s="1">
        <v>1048992</v>
      </c>
      <c r="J120" s="1" t="s">
        <v>48</v>
      </c>
      <c r="K120" s="1" t="s">
        <v>35</v>
      </c>
      <c r="L120" s="1" t="s">
        <v>961</v>
      </c>
      <c r="M120" s="1" t="s">
        <v>2</v>
      </c>
      <c r="N120" s="1" t="s">
        <v>3</v>
      </c>
      <c r="O120" s="1" t="s">
        <v>0</v>
      </c>
      <c r="P120" s="1" t="s">
        <v>1</v>
      </c>
      <c r="Q120" s="1" t="s">
        <v>34</v>
      </c>
      <c r="R120" s="1" t="s">
        <v>34</v>
      </c>
      <c r="S120" s="1" t="s">
        <v>34</v>
      </c>
      <c r="T120" s="1" t="s">
        <v>34</v>
      </c>
      <c r="U120" s="1" t="s">
        <v>1155</v>
      </c>
      <c r="V120" s="1" t="s">
        <v>1210</v>
      </c>
      <c r="W120" s="1" t="s">
        <v>1213</v>
      </c>
      <c r="X120" s="1" t="s">
        <v>55</v>
      </c>
    </row>
    <row r="121" spans="1:24" ht="30" x14ac:dyDescent="0.25">
      <c r="A121" s="1" t="s">
        <v>428</v>
      </c>
      <c r="B121" s="2" t="s">
        <v>177</v>
      </c>
      <c r="C121" s="2" t="s">
        <v>429</v>
      </c>
      <c r="D121" s="2" t="s">
        <v>178</v>
      </c>
      <c r="E121" s="2" t="s">
        <v>48</v>
      </c>
      <c r="F121" s="3">
        <v>8882442513</v>
      </c>
      <c r="G121" s="4" t="s">
        <v>48</v>
      </c>
      <c r="H121" s="1" t="s">
        <v>34</v>
      </c>
      <c r="I121" s="1">
        <v>998627</v>
      </c>
      <c r="J121" s="1" t="s">
        <v>48</v>
      </c>
      <c r="K121" s="1" t="s">
        <v>35</v>
      </c>
      <c r="L121" s="1" t="s">
        <v>961</v>
      </c>
      <c r="M121" s="1" t="s">
        <v>2</v>
      </c>
      <c r="N121" s="1" t="s">
        <v>3</v>
      </c>
      <c r="O121" s="1" t="s">
        <v>0</v>
      </c>
      <c r="P121" s="1" t="s">
        <v>1</v>
      </c>
      <c r="Q121" s="1" t="s">
        <v>34</v>
      </c>
      <c r="R121" s="1" t="s">
        <v>34</v>
      </c>
      <c r="S121" s="1" t="s">
        <v>34</v>
      </c>
      <c r="T121" s="1" t="s">
        <v>34</v>
      </c>
      <c r="U121" s="1" t="s">
        <v>430</v>
      </c>
      <c r="V121" s="1" t="s">
        <v>1210</v>
      </c>
      <c r="W121" s="1" t="s">
        <v>1213</v>
      </c>
      <c r="X121" s="1" t="s">
        <v>1026</v>
      </c>
    </row>
    <row r="122" spans="1:24" ht="30" x14ac:dyDescent="0.25">
      <c r="A122" s="1" t="s">
        <v>179</v>
      </c>
      <c r="B122" s="2" t="s">
        <v>180</v>
      </c>
      <c r="C122" s="2" t="s">
        <v>181</v>
      </c>
      <c r="D122" s="2" t="s">
        <v>48</v>
      </c>
      <c r="E122" s="2" t="s">
        <v>48</v>
      </c>
      <c r="F122" s="3">
        <v>4085838101</v>
      </c>
      <c r="G122" s="4" t="s">
        <v>48</v>
      </c>
      <c r="H122" s="1" t="s">
        <v>34</v>
      </c>
      <c r="I122" s="1">
        <v>1031953</v>
      </c>
      <c r="J122" s="1" t="s">
        <v>48</v>
      </c>
      <c r="K122" s="1" t="s">
        <v>35</v>
      </c>
      <c r="L122" s="1" t="s">
        <v>961</v>
      </c>
      <c r="M122" s="1" t="s">
        <v>2</v>
      </c>
      <c r="N122" s="1" t="s">
        <v>3</v>
      </c>
      <c r="O122" s="1" t="s">
        <v>0</v>
      </c>
      <c r="Q122" s="1" t="s">
        <v>36</v>
      </c>
      <c r="R122" s="1" t="s">
        <v>34</v>
      </c>
      <c r="S122" s="1" t="s">
        <v>34</v>
      </c>
      <c r="T122" s="1" t="s">
        <v>34</v>
      </c>
      <c r="U122" s="1" t="s">
        <v>182</v>
      </c>
      <c r="V122" s="1" t="s">
        <v>34</v>
      </c>
      <c r="W122" s="1" t="s">
        <v>1028</v>
      </c>
      <c r="X122" s="1" t="s">
        <v>1027</v>
      </c>
    </row>
    <row r="123" spans="1:24" ht="285" x14ac:dyDescent="0.25">
      <c r="A123" s="1" t="s">
        <v>868</v>
      </c>
      <c r="B123" s="5" t="s">
        <v>869</v>
      </c>
      <c r="C123" s="2" t="s">
        <v>632</v>
      </c>
      <c r="D123" s="2" t="s">
        <v>48</v>
      </c>
      <c r="E123" s="2" t="s">
        <v>48</v>
      </c>
      <c r="F123" s="3">
        <v>7072728136</v>
      </c>
      <c r="G123" s="4">
        <v>7079858805</v>
      </c>
      <c r="H123" s="1" t="s">
        <v>34</v>
      </c>
      <c r="I123" s="1">
        <v>1058615</v>
      </c>
      <c r="J123" s="1" t="s">
        <v>48</v>
      </c>
      <c r="K123" s="1" t="s">
        <v>35</v>
      </c>
      <c r="M123" s="1" t="s">
        <v>2</v>
      </c>
      <c r="O123" s="1" t="s">
        <v>0</v>
      </c>
      <c r="P123" s="1" t="s">
        <v>1</v>
      </c>
      <c r="Q123" s="1" t="s">
        <v>34</v>
      </c>
      <c r="R123" s="1" t="s">
        <v>34</v>
      </c>
      <c r="S123" s="1" t="s">
        <v>34</v>
      </c>
      <c r="T123" s="1" t="s">
        <v>36</v>
      </c>
      <c r="U123" s="1" t="s">
        <v>1213</v>
      </c>
      <c r="V123" s="1" t="s">
        <v>34</v>
      </c>
      <c r="W123" s="1" t="s">
        <v>1157</v>
      </c>
      <c r="X123" s="1" t="s">
        <v>1156</v>
      </c>
    </row>
    <row r="124" spans="1:24" ht="30" x14ac:dyDescent="0.25">
      <c r="A124" s="1" t="s">
        <v>234</v>
      </c>
      <c r="B124" s="2" t="s">
        <v>235</v>
      </c>
      <c r="C124" s="2" t="s">
        <v>236</v>
      </c>
      <c r="D124" s="2" t="s">
        <v>48</v>
      </c>
      <c r="E124" s="2" t="s">
        <v>48</v>
      </c>
      <c r="F124" s="3">
        <v>7078003884</v>
      </c>
      <c r="G124" s="4" t="s">
        <v>48</v>
      </c>
      <c r="H124" s="1" t="s">
        <v>34</v>
      </c>
      <c r="I124" s="1">
        <v>266927</v>
      </c>
      <c r="J124" s="1" t="s">
        <v>48</v>
      </c>
      <c r="K124" s="1" t="s">
        <v>35</v>
      </c>
      <c r="M124" s="1" t="s">
        <v>2</v>
      </c>
      <c r="O124" s="1" t="s">
        <v>0</v>
      </c>
      <c r="Q124" s="1" t="s">
        <v>1210</v>
      </c>
      <c r="R124" s="1" t="s">
        <v>1210</v>
      </c>
      <c r="S124" s="1" t="s">
        <v>1210</v>
      </c>
      <c r="T124" s="1" t="s">
        <v>34</v>
      </c>
      <c r="U124" s="1" t="s">
        <v>1213</v>
      </c>
      <c r="V124" s="1" t="s">
        <v>1210</v>
      </c>
      <c r="W124" s="1" t="s">
        <v>1213</v>
      </c>
      <c r="X124" s="1" t="s">
        <v>1213</v>
      </c>
    </row>
    <row r="125" spans="1:24" ht="30" x14ac:dyDescent="0.25">
      <c r="A125" s="1" t="s">
        <v>867</v>
      </c>
      <c r="B125" s="2" t="s">
        <v>625</v>
      </c>
      <c r="C125" s="2" t="s">
        <v>626</v>
      </c>
      <c r="D125" s="2" t="s">
        <v>48</v>
      </c>
      <c r="E125" s="2" t="s">
        <v>48</v>
      </c>
      <c r="F125" s="3">
        <v>7072286266</v>
      </c>
      <c r="G125" s="4" t="s">
        <v>48</v>
      </c>
      <c r="H125" s="1" t="s">
        <v>34</v>
      </c>
      <c r="I125" s="1">
        <v>999979</v>
      </c>
      <c r="J125" s="1" t="s">
        <v>48</v>
      </c>
      <c r="K125" s="1" t="s">
        <v>35</v>
      </c>
      <c r="M125" s="1" t="s">
        <v>2</v>
      </c>
      <c r="O125" s="1" t="s">
        <v>0</v>
      </c>
      <c r="Q125" s="1" t="s">
        <v>34</v>
      </c>
      <c r="R125" s="1" t="s">
        <v>36</v>
      </c>
      <c r="S125" s="1" t="s">
        <v>34</v>
      </c>
      <c r="T125" s="1" t="s">
        <v>36</v>
      </c>
      <c r="U125" s="1" t="s">
        <v>1213</v>
      </c>
      <c r="V125" s="1" t="s">
        <v>1210</v>
      </c>
      <c r="W125" s="1" t="s">
        <v>1213</v>
      </c>
      <c r="X125" s="1" t="s">
        <v>627</v>
      </c>
    </row>
    <row r="126" spans="1:24" ht="30" x14ac:dyDescent="0.25">
      <c r="A126" s="1" t="s">
        <v>879</v>
      </c>
      <c r="B126" s="2" t="s">
        <v>655</v>
      </c>
      <c r="C126" s="2" t="s">
        <v>660</v>
      </c>
      <c r="D126" s="2" t="s">
        <v>656</v>
      </c>
      <c r="E126" s="2" t="s">
        <v>48</v>
      </c>
      <c r="F126" s="3">
        <v>6194487770</v>
      </c>
      <c r="G126" s="4" t="s">
        <v>48</v>
      </c>
      <c r="H126" s="1" t="s">
        <v>34</v>
      </c>
      <c r="I126" s="1">
        <v>827648</v>
      </c>
      <c r="J126" s="1" t="s">
        <v>48</v>
      </c>
      <c r="K126" s="1" t="s">
        <v>35</v>
      </c>
      <c r="L126" s="1" t="s">
        <v>44</v>
      </c>
      <c r="M126" s="1" t="s">
        <v>2</v>
      </c>
      <c r="N126" s="1" t="s">
        <v>3</v>
      </c>
      <c r="O126" s="1" t="s">
        <v>0</v>
      </c>
      <c r="Q126" s="1" t="s">
        <v>34</v>
      </c>
      <c r="R126" s="1" t="s">
        <v>36</v>
      </c>
      <c r="S126" s="1" t="s">
        <v>34</v>
      </c>
      <c r="T126" s="1" t="s">
        <v>34</v>
      </c>
      <c r="U126" s="1" t="s">
        <v>1158</v>
      </c>
      <c r="V126" s="1" t="s">
        <v>1210</v>
      </c>
      <c r="W126" s="1" t="s">
        <v>1213</v>
      </c>
      <c r="X126" s="1" t="s">
        <v>1213</v>
      </c>
    </row>
    <row r="127" spans="1:24" ht="30" x14ac:dyDescent="0.25">
      <c r="A127" s="1" t="s">
        <v>908</v>
      </c>
      <c r="B127" s="2" t="s">
        <v>741</v>
      </c>
      <c r="C127" s="2" t="s">
        <v>1029</v>
      </c>
      <c r="D127" s="2" t="s">
        <v>48</v>
      </c>
      <c r="E127" s="2" t="s">
        <v>48</v>
      </c>
      <c r="F127" s="3">
        <v>7079945911</v>
      </c>
      <c r="G127" s="4" t="s">
        <v>48</v>
      </c>
      <c r="H127" s="1" t="s">
        <v>34</v>
      </c>
      <c r="I127" s="1">
        <v>708935</v>
      </c>
      <c r="J127" s="1" t="s">
        <v>48</v>
      </c>
      <c r="K127" s="1" t="s">
        <v>35</v>
      </c>
      <c r="L127" s="1" t="s">
        <v>961</v>
      </c>
      <c r="M127" s="1" t="s">
        <v>2</v>
      </c>
      <c r="N127" s="1" t="s">
        <v>3</v>
      </c>
      <c r="O127" s="1" t="s">
        <v>0</v>
      </c>
      <c r="Q127" s="1" t="s">
        <v>34</v>
      </c>
      <c r="R127" s="1" t="s">
        <v>34</v>
      </c>
      <c r="S127" s="1" t="s">
        <v>34</v>
      </c>
      <c r="T127" s="1" t="s">
        <v>34</v>
      </c>
      <c r="U127" s="1" t="s">
        <v>742</v>
      </c>
      <c r="V127" s="1" t="s">
        <v>34</v>
      </c>
      <c r="W127" s="1" t="s">
        <v>743</v>
      </c>
      <c r="X127" s="1" t="s">
        <v>1213</v>
      </c>
    </row>
    <row r="128" spans="1:24" ht="30" x14ac:dyDescent="0.25">
      <c r="A128" s="1" t="s">
        <v>75</v>
      </c>
      <c r="C128" s="2" t="s">
        <v>76</v>
      </c>
      <c r="D128" s="2" t="s">
        <v>48</v>
      </c>
      <c r="E128" s="2" t="s">
        <v>48</v>
      </c>
      <c r="F128" s="3">
        <v>7605190841</v>
      </c>
      <c r="G128" s="4" t="s">
        <v>48</v>
      </c>
      <c r="H128" s="1" t="s">
        <v>34</v>
      </c>
      <c r="I128" s="1">
        <v>634629</v>
      </c>
      <c r="J128" s="1" t="s">
        <v>48</v>
      </c>
      <c r="K128" s="1" t="s">
        <v>35</v>
      </c>
      <c r="L128" s="1" t="s">
        <v>961</v>
      </c>
      <c r="M128" s="1" t="s">
        <v>2</v>
      </c>
      <c r="N128" s="1" t="s">
        <v>3</v>
      </c>
      <c r="O128" s="1" t="s">
        <v>0</v>
      </c>
      <c r="P128" s="1" t="s">
        <v>1</v>
      </c>
      <c r="Q128" s="1" t="s">
        <v>36</v>
      </c>
      <c r="R128" s="1" t="s">
        <v>34</v>
      </c>
      <c r="S128" s="1" t="s">
        <v>34</v>
      </c>
      <c r="T128" s="1" t="s">
        <v>36</v>
      </c>
      <c r="U128" s="1" t="s">
        <v>1213</v>
      </c>
      <c r="V128" s="1" t="s">
        <v>1210</v>
      </c>
      <c r="W128" s="1" t="s">
        <v>1213</v>
      </c>
      <c r="X128" s="1" t="s">
        <v>1213</v>
      </c>
    </row>
    <row r="129" spans="1:24" ht="30" x14ac:dyDescent="0.25">
      <c r="A129" s="1" t="s">
        <v>41</v>
      </c>
      <c r="B129" s="2" t="s">
        <v>42</v>
      </c>
      <c r="C129" s="2" t="s">
        <v>43</v>
      </c>
      <c r="D129" s="2" t="s">
        <v>48</v>
      </c>
      <c r="E129" s="2" t="s">
        <v>48</v>
      </c>
      <c r="F129" s="3">
        <v>9162249553</v>
      </c>
      <c r="G129" s="4" t="s">
        <v>48</v>
      </c>
      <c r="H129" s="1" t="s">
        <v>34</v>
      </c>
      <c r="I129" s="1">
        <v>831640</v>
      </c>
      <c r="J129" s="1" t="s">
        <v>48</v>
      </c>
      <c r="K129" s="1" t="s">
        <v>35</v>
      </c>
      <c r="L129" s="1" t="s">
        <v>961</v>
      </c>
      <c r="M129" s="1" t="s">
        <v>2</v>
      </c>
      <c r="N129" s="1" t="s">
        <v>3</v>
      </c>
      <c r="O129" s="1" t="s">
        <v>0</v>
      </c>
      <c r="Q129" s="1" t="s">
        <v>1210</v>
      </c>
      <c r="R129" s="1" t="s">
        <v>1210</v>
      </c>
      <c r="S129" s="1" t="s">
        <v>1210</v>
      </c>
      <c r="T129" s="1" t="s">
        <v>36</v>
      </c>
      <c r="U129" s="1" t="s">
        <v>1213</v>
      </c>
      <c r="V129" s="1" t="s">
        <v>1210</v>
      </c>
      <c r="W129" s="1" t="s">
        <v>1213</v>
      </c>
      <c r="X129" s="1" t="s">
        <v>1213</v>
      </c>
    </row>
    <row r="130" spans="1:24" ht="60" x14ac:dyDescent="0.25">
      <c r="A130" s="1" t="s">
        <v>267</v>
      </c>
      <c r="B130" s="2" t="s">
        <v>268</v>
      </c>
      <c r="C130" s="2" t="s">
        <v>269</v>
      </c>
      <c r="D130" s="2" t="s">
        <v>48</v>
      </c>
      <c r="E130" s="2" t="s">
        <v>48</v>
      </c>
      <c r="F130" s="3">
        <v>8558005682</v>
      </c>
      <c r="G130" s="4" t="s">
        <v>48</v>
      </c>
      <c r="H130" s="1" t="s">
        <v>34</v>
      </c>
      <c r="I130" s="1">
        <v>1063901</v>
      </c>
      <c r="J130" s="1" t="s">
        <v>48</v>
      </c>
      <c r="K130" s="1" t="s">
        <v>35</v>
      </c>
      <c r="L130" s="1" t="s">
        <v>961</v>
      </c>
      <c r="M130" s="1" t="s">
        <v>2</v>
      </c>
      <c r="O130" s="1" t="s">
        <v>0</v>
      </c>
      <c r="Q130" s="1" t="s">
        <v>34</v>
      </c>
      <c r="R130" s="1" t="s">
        <v>34</v>
      </c>
      <c r="S130" s="1" t="s">
        <v>34</v>
      </c>
      <c r="T130" s="1" t="s">
        <v>34</v>
      </c>
      <c r="U130" s="1" t="s">
        <v>270</v>
      </c>
      <c r="V130" s="1" t="s">
        <v>34</v>
      </c>
      <c r="W130" s="1" t="s">
        <v>1030</v>
      </c>
      <c r="X130" s="1" t="s">
        <v>271</v>
      </c>
    </row>
    <row r="131" spans="1:24" ht="30" x14ac:dyDescent="0.25">
      <c r="A131" s="1" t="s">
        <v>109</v>
      </c>
      <c r="B131" s="2" t="s">
        <v>110</v>
      </c>
      <c r="C131" s="2" t="s">
        <v>111</v>
      </c>
      <c r="D131" s="2" t="s">
        <v>48</v>
      </c>
      <c r="E131" s="2" t="s">
        <v>48</v>
      </c>
      <c r="F131" s="3">
        <v>5597477491</v>
      </c>
      <c r="G131" s="4" t="s">
        <v>48</v>
      </c>
      <c r="H131" s="1" t="s">
        <v>34</v>
      </c>
      <c r="I131" s="1">
        <v>1030786</v>
      </c>
      <c r="J131" s="1" t="s">
        <v>48</v>
      </c>
      <c r="K131" s="1" t="s">
        <v>35</v>
      </c>
      <c r="M131" s="1" t="s">
        <v>2</v>
      </c>
      <c r="O131" s="1" t="s">
        <v>0</v>
      </c>
      <c r="Q131" s="1" t="s">
        <v>34</v>
      </c>
      <c r="R131" s="1" t="s">
        <v>34</v>
      </c>
      <c r="S131" s="1" t="s">
        <v>34</v>
      </c>
      <c r="T131" s="1" t="s">
        <v>34</v>
      </c>
      <c r="U131" s="1" t="s">
        <v>112</v>
      </c>
      <c r="V131" s="1" t="s">
        <v>34</v>
      </c>
      <c r="W131" s="1" t="s">
        <v>114</v>
      </c>
      <c r="X131" s="1" t="s">
        <v>113</v>
      </c>
    </row>
    <row r="132" spans="1:24" ht="30" x14ac:dyDescent="0.25">
      <c r="A132" s="1" t="s">
        <v>895</v>
      </c>
      <c r="B132" s="2" t="s">
        <v>706</v>
      </c>
      <c r="C132" s="2" t="s">
        <v>707</v>
      </c>
      <c r="D132" s="2" t="s">
        <v>48</v>
      </c>
      <c r="E132" s="2" t="s">
        <v>48</v>
      </c>
      <c r="F132" s="3">
        <v>8183730077</v>
      </c>
      <c r="G132" s="4" t="s">
        <v>48</v>
      </c>
      <c r="H132" s="1" t="s">
        <v>34</v>
      </c>
      <c r="I132" s="1">
        <v>974115</v>
      </c>
      <c r="J132" s="1" t="s">
        <v>48</v>
      </c>
      <c r="K132" s="1" t="s">
        <v>35</v>
      </c>
      <c r="L132" s="1" t="s">
        <v>961</v>
      </c>
      <c r="M132" s="1" t="s">
        <v>2</v>
      </c>
      <c r="N132" s="1" t="s">
        <v>3</v>
      </c>
      <c r="O132" s="1" t="s">
        <v>0</v>
      </c>
      <c r="P132" s="1" t="s">
        <v>1</v>
      </c>
      <c r="Q132" s="1" t="s">
        <v>34</v>
      </c>
      <c r="R132" s="1" t="s">
        <v>34</v>
      </c>
      <c r="S132" s="1" t="s">
        <v>34</v>
      </c>
      <c r="T132" s="1" t="s">
        <v>34</v>
      </c>
      <c r="U132" s="1" t="s">
        <v>708</v>
      </c>
      <c r="V132" s="1" t="s">
        <v>1210</v>
      </c>
      <c r="W132" s="1" t="s">
        <v>1213</v>
      </c>
      <c r="X132" s="1" t="s">
        <v>1213</v>
      </c>
    </row>
    <row r="133" spans="1:24" ht="30" x14ac:dyDescent="0.25">
      <c r="A133" s="1" t="s">
        <v>932</v>
      </c>
      <c r="B133" s="2" t="s">
        <v>785</v>
      </c>
      <c r="C133" s="2" t="s">
        <v>786</v>
      </c>
      <c r="D133" s="2" t="s">
        <v>48</v>
      </c>
      <c r="E133" s="2" t="s">
        <v>48</v>
      </c>
      <c r="F133" s="3">
        <v>5303885536</v>
      </c>
      <c r="G133" s="4" t="s">
        <v>48</v>
      </c>
      <c r="H133" s="1" t="s">
        <v>34</v>
      </c>
      <c r="I133" s="1">
        <v>1001369</v>
      </c>
      <c r="J133" s="1" t="s">
        <v>48</v>
      </c>
      <c r="K133" s="1" t="s">
        <v>35</v>
      </c>
      <c r="L133" s="1" t="s">
        <v>961</v>
      </c>
      <c r="M133" s="1" t="s">
        <v>2</v>
      </c>
      <c r="N133" s="1" t="s">
        <v>3</v>
      </c>
      <c r="O133" s="1" t="s">
        <v>0</v>
      </c>
      <c r="P133" s="1" t="s">
        <v>1</v>
      </c>
      <c r="Q133" s="1" t="s">
        <v>34</v>
      </c>
      <c r="R133" s="1" t="s">
        <v>36</v>
      </c>
      <c r="S133" s="1" t="s">
        <v>34</v>
      </c>
      <c r="T133" s="1" t="s">
        <v>36</v>
      </c>
      <c r="U133" s="1" t="s">
        <v>1213</v>
      </c>
      <c r="V133" s="1" t="s">
        <v>1210</v>
      </c>
      <c r="W133" s="1" t="s">
        <v>1213</v>
      </c>
      <c r="X133" s="1" t="s">
        <v>1031</v>
      </c>
    </row>
    <row r="134" spans="1:24" ht="75" x14ac:dyDescent="0.25">
      <c r="A134" s="1" t="s">
        <v>889</v>
      </c>
      <c r="B134" s="2" t="s">
        <v>687</v>
      </c>
      <c r="C134" s="2" t="s">
        <v>688</v>
      </c>
      <c r="D134" s="2" t="s">
        <v>48</v>
      </c>
      <c r="E134" s="2" t="s">
        <v>48</v>
      </c>
      <c r="F134" s="3">
        <v>2132803548</v>
      </c>
      <c r="G134" s="4" t="s">
        <v>48</v>
      </c>
      <c r="H134" s="1" t="s">
        <v>34</v>
      </c>
      <c r="I134" s="1">
        <v>706601</v>
      </c>
      <c r="J134" s="1" t="s">
        <v>48</v>
      </c>
      <c r="K134" s="1" t="s">
        <v>35</v>
      </c>
      <c r="L134" s="1" t="s">
        <v>961</v>
      </c>
      <c r="M134" s="1" t="s">
        <v>2</v>
      </c>
      <c r="N134" s="1" t="s">
        <v>3</v>
      </c>
      <c r="O134" s="1" t="s">
        <v>0</v>
      </c>
      <c r="Q134" s="1" t="s">
        <v>34</v>
      </c>
      <c r="R134" s="1" t="s">
        <v>34</v>
      </c>
      <c r="S134" s="1" t="s">
        <v>34</v>
      </c>
      <c r="T134" s="1" t="s">
        <v>34</v>
      </c>
      <c r="U134" s="1" t="s">
        <v>1213</v>
      </c>
      <c r="V134" s="1" t="s">
        <v>34</v>
      </c>
      <c r="W134" s="1" t="s">
        <v>1160</v>
      </c>
      <c r="X134" s="1" t="s">
        <v>1159</v>
      </c>
    </row>
    <row r="135" spans="1:24" ht="30" x14ac:dyDescent="0.25">
      <c r="A135" s="1" t="s">
        <v>125</v>
      </c>
      <c r="B135" s="2" t="s">
        <v>126</v>
      </c>
      <c r="C135" s="2" t="s">
        <v>127</v>
      </c>
      <c r="D135" s="2" t="s">
        <v>48</v>
      </c>
      <c r="E135" s="2" t="s">
        <v>48</v>
      </c>
      <c r="F135" s="3">
        <v>8006726730</v>
      </c>
      <c r="G135" s="4" t="s">
        <v>48</v>
      </c>
      <c r="H135" s="1" t="s">
        <v>34</v>
      </c>
      <c r="I135" s="1">
        <v>1002782</v>
      </c>
      <c r="J135" s="1" t="s">
        <v>48</v>
      </c>
      <c r="K135" s="1" t="s">
        <v>35</v>
      </c>
      <c r="L135" s="1" t="s">
        <v>961</v>
      </c>
      <c r="M135" s="1" t="s">
        <v>2</v>
      </c>
      <c r="N135" s="1" t="s">
        <v>3</v>
      </c>
      <c r="O135" s="1" t="s">
        <v>0</v>
      </c>
      <c r="Q135" s="1" t="s">
        <v>34</v>
      </c>
      <c r="R135" s="1" t="s">
        <v>34</v>
      </c>
      <c r="S135" s="1" t="s">
        <v>34</v>
      </c>
      <c r="T135" s="1" t="s">
        <v>36</v>
      </c>
      <c r="U135" s="1" t="s">
        <v>1213</v>
      </c>
      <c r="V135" s="1" t="s">
        <v>34</v>
      </c>
      <c r="W135" s="1" t="s">
        <v>128</v>
      </c>
      <c r="X135" s="1" t="s">
        <v>967</v>
      </c>
    </row>
    <row r="136" spans="1:24" ht="60" x14ac:dyDescent="0.25">
      <c r="A136" s="1" t="s">
        <v>595</v>
      </c>
      <c r="B136" s="2" t="s">
        <v>663</v>
      </c>
      <c r="C136" s="2" t="s">
        <v>596</v>
      </c>
      <c r="D136" s="2" t="s">
        <v>48</v>
      </c>
      <c r="E136" s="2" t="s">
        <v>48</v>
      </c>
      <c r="F136" s="3">
        <v>8444238489</v>
      </c>
      <c r="G136" s="3">
        <v>3236800003</v>
      </c>
      <c r="H136" s="1" t="s">
        <v>34</v>
      </c>
      <c r="I136" s="1">
        <v>1029503</v>
      </c>
      <c r="J136" s="1" t="s">
        <v>48</v>
      </c>
      <c r="K136" s="1" t="s">
        <v>35</v>
      </c>
      <c r="L136" s="1" t="s">
        <v>961</v>
      </c>
      <c r="M136" s="1" t="s">
        <v>2</v>
      </c>
      <c r="N136" s="1" t="s">
        <v>3</v>
      </c>
      <c r="O136" s="1" t="s">
        <v>0</v>
      </c>
      <c r="Q136" s="1" t="s">
        <v>34</v>
      </c>
      <c r="R136" s="1" t="s">
        <v>34</v>
      </c>
      <c r="S136" s="1" t="s">
        <v>34</v>
      </c>
      <c r="T136" s="1" t="s">
        <v>36</v>
      </c>
      <c r="U136" s="1" t="s">
        <v>1161</v>
      </c>
      <c r="V136" s="1" t="s">
        <v>1210</v>
      </c>
      <c r="W136" s="1" t="s">
        <v>1213</v>
      </c>
      <c r="X136" s="1" t="s">
        <v>1213</v>
      </c>
    </row>
    <row r="137" spans="1:24" x14ac:dyDescent="0.25">
      <c r="A137" s="1" t="s">
        <v>448</v>
      </c>
      <c r="B137" s="2" t="s">
        <v>449</v>
      </c>
      <c r="C137" s="2" t="s">
        <v>450</v>
      </c>
      <c r="D137" s="2" t="s">
        <v>48</v>
      </c>
      <c r="E137" s="2" t="s">
        <v>48</v>
      </c>
      <c r="F137" s="3">
        <v>8186126453</v>
      </c>
      <c r="G137" s="4" t="s">
        <v>48</v>
      </c>
      <c r="H137" s="1" t="s">
        <v>34</v>
      </c>
      <c r="I137" s="1">
        <v>982277</v>
      </c>
      <c r="J137" s="1" t="s">
        <v>48</v>
      </c>
      <c r="Q137" s="1" t="s">
        <v>34</v>
      </c>
      <c r="R137" s="1" t="s">
        <v>36</v>
      </c>
      <c r="S137" s="1" t="s">
        <v>34</v>
      </c>
      <c r="T137" s="1" t="s">
        <v>36</v>
      </c>
      <c r="U137" s="1" t="s">
        <v>1213</v>
      </c>
      <c r="V137" s="1" t="s">
        <v>1210</v>
      </c>
      <c r="W137" s="1" t="s">
        <v>1213</v>
      </c>
      <c r="X137" s="1" t="s">
        <v>1213</v>
      </c>
    </row>
    <row r="138" spans="1:24" ht="30" x14ac:dyDescent="0.25">
      <c r="A138" s="1" t="s">
        <v>187</v>
      </c>
      <c r="B138" s="2" t="s">
        <v>188</v>
      </c>
      <c r="C138" s="2" t="s">
        <v>189</v>
      </c>
      <c r="D138" s="2" t="s">
        <v>48</v>
      </c>
      <c r="E138" s="2" t="s">
        <v>48</v>
      </c>
      <c r="F138" s="3">
        <v>6194489545</v>
      </c>
      <c r="G138" s="4" t="s">
        <v>48</v>
      </c>
      <c r="H138" s="1" t="s">
        <v>34</v>
      </c>
      <c r="I138" s="1">
        <v>759171</v>
      </c>
      <c r="J138" s="1" t="s">
        <v>48</v>
      </c>
      <c r="K138" s="1" t="s">
        <v>35</v>
      </c>
      <c r="O138" s="1" t="s">
        <v>0</v>
      </c>
      <c r="Q138" s="1" t="s">
        <v>1210</v>
      </c>
      <c r="R138" s="1" t="s">
        <v>1210</v>
      </c>
      <c r="S138" s="1" t="s">
        <v>1210</v>
      </c>
      <c r="T138" s="1" t="s">
        <v>36</v>
      </c>
      <c r="U138" s="1" t="s">
        <v>1213</v>
      </c>
      <c r="V138" s="1" t="s">
        <v>1210</v>
      </c>
      <c r="W138" s="1" t="s">
        <v>1213</v>
      </c>
      <c r="X138" s="1" t="s">
        <v>1213</v>
      </c>
    </row>
    <row r="139" spans="1:24" ht="30" x14ac:dyDescent="0.25">
      <c r="A139" s="1" t="s">
        <v>860</v>
      </c>
      <c r="B139" s="2" t="s">
        <v>602</v>
      </c>
      <c r="C139" s="2" t="s">
        <v>603</v>
      </c>
      <c r="D139" s="2" t="s">
        <v>48</v>
      </c>
      <c r="E139" s="2" t="s">
        <v>48</v>
      </c>
      <c r="F139" s="3">
        <v>8186311451</v>
      </c>
      <c r="G139" s="4" t="s">
        <v>954</v>
      </c>
      <c r="H139" s="1" t="s">
        <v>34</v>
      </c>
      <c r="I139" s="1">
        <v>875584</v>
      </c>
      <c r="J139" s="1" t="s">
        <v>48</v>
      </c>
      <c r="K139" s="1" t="s">
        <v>35</v>
      </c>
      <c r="M139" s="1" t="s">
        <v>2</v>
      </c>
      <c r="N139" s="1" t="s">
        <v>3</v>
      </c>
      <c r="O139" s="1" t="s">
        <v>0</v>
      </c>
      <c r="P139" s="1" t="s">
        <v>1</v>
      </c>
      <c r="Q139" s="1" t="s">
        <v>36</v>
      </c>
      <c r="R139" s="1" t="s">
        <v>34</v>
      </c>
      <c r="S139" s="1" t="s">
        <v>34</v>
      </c>
      <c r="T139" s="1" t="s">
        <v>36</v>
      </c>
      <c r="U139" s="1" t="s">
        <v>1213</v>
      </c>
      <c r="V139" s="1" t="s">
        <v>34</v>
      </c>
      <c r="W139" s="1" t="s">
        <v>605</v>
      </c>
      <c r="X139" s="1" t="s">
        <v>604</v>
      </c>
    </row>
    <row r="140" spans="1:24" ht="30" x14ac:dyDescent="0.25">
      <c r="A140" s="1" t="s">
        <v>83</v>
      </c>
      <c r="B140" s="2" t="s">
        <v>84</v>
      </c>
      <c r="C140" s="2" t="s">
        <v>85</v>
      </c>
      <c r="D140" s="2" t="s">
        <v>48</v>
      </c>
      <c r="E140" s="2" t="s">
        <v>48</v>
      </c>
      <c r="F140" s="3">
        <v>8016892618</v>
      </c>
      <c r="G140" s="4" t="s">
        <v>48</v>
      </c>
      <c r="H140" s="1" t="s">
        <v>34</v>
      </c>
      <c r="I140" s="1">
        <v>980368</v>
      </c>
      <c r="J140" s="1" t="s">
        <v>48</v>
      </c>
      <c r="K140" s="1" t="s">
        <v>35</v>
      </c>
      <c r="L140" s="1" t="s">
        <v>961</v>
      </c>
      <c r="M140" s="1" t="s">
        <v>2</v>
      </c>
      <c r="N140" s="1" t="s">
        <v>3</v>
      </c>
      <c r="O140" s="1" t="s">
        <v>0</v>
      </c>
      <c r="Q140" s="1" t="s">
        <v>36</v>
      </c>
      <c r="R140" s="1" t="s">
        <v>34</v>
      </c>
      <c r="S140" s="1" t="s">
        <v>34</v>
      </c>
      <c r="T140" s="1" t="s">
        <v>36</v>
      </c>
      <c r="U140" s="1" t="s">
        <v>1213</v>
      </c>
      <c r="V140" s="1" t="s">
        <v>1210</v>
      </c>
      <c r="W140" s="1" t="s">
        <v>1213</v>
      </c>
      <c r="X140" s="1" t="s">
        <v>86</v>
      </c>
    </row>
    <row r="141" spans="1:24" ht="30" x14ac:dyDescent="0.25">
      <c r="A141" s="1" t="s">
        <v>357</v>
      </c>
      <c r="B141" s="2" t="s">
        <v>358</v>
      </c>
      <c r="C141" s="2" t="s">
        <v>359</v>
      </c>
      <c r="D141" s="2" t="s">
        <v>48</v>
      </c>
      <c r="E141" s="2" t="s">
        <v>48</v>
      </c>
      <c r="F141" s="3">
        <v>7077912011</v>
      </c>
      <c r="G141" s="4" t="s">
        <v>48</v>
      </c>
      <c r="H141" s="1" t="s">
        <v>34</v>
      </c>
      <c r="I141" s="1">
        <v>1029183</v>
      </c>
      <c r="J141" s="1" t="s">
        <v>48</v>
      </c>
      <c r="K141" s="1" t="s">
        <v>35</v>
      </c>
      <c r="M141" s="1" t="s">
        <v>2</v>
      </c>
      <c r="O141" s="1" t="s">
        <v>0</v>
      </c>
      <c r="Q141" s="1" t="s">
        <v>34</v>
      </c>
      <c r="R141" s="1" t="s">
        <v>34</v>
      </c>
      <c r="S141" s="1" t="s">
        <v>34</v>
      </c>
      <c r="T141" s="1" t="s">
        <v>36</v>
      </c>
      <c r="U141" s="1" t="s">
        <v>1213</v>
      </c>
      <c r="V141" s="1" t="s">
        <v>1210</v>
      </c>
      <c r="W141" s="1" t="s">
        <v>1213</v>
      </c>
      <c r="X141" s="1" t="s">
        <v>1213</v>
      </c>
    </row>
    <row r="142" spans="1:24" ht="30" x14ac:dyDescent="0.25">
      <c r="A142" s="1" t="s">
        <v>413</v>
      </c>
      <c r="B142" s="2" t="s">
        <v>413</v>
      </c>
      <c r="C142" s="2" t="s">
        <v>414</v>
      </c>
      <c r="D142" s="2" t="s">
        <v>48</v>
      </c>
      <c r="E142" s="2" t="s">
        <v>48</v>
      </c>
      <c r="F142" s="3">
        <v>7077912011</v>
      </c>
      <c r="G142" s="4" t="s">
        <v>48</v>
      </c>
      <c r="H142" s="1" t="s">
        <v>34</v>
      </c>
      <c r="I142" s="1">
        <v>1029183</v>
      </c>
      <c r="J142" s="1" t="s">
        <v>48</v>
      </c>
      <c r="K142" s="1" t="s">
        <v>35</v>
      </c>
      <c r="O142" s="1" t="s">
        <v>0</v>
      </c>
      <c r="Q142" s="1" t="s">
        <v>34</v>
      </c>
      <c r="R142" s="1" t="s">
        <v>34</v>
      </c>
      <c r="S142" s="1" t="s">
        <v>34</v>
      </c>
      <c r="T142" s="1" t="s">
        <v>36</v>
      </c>
      <c r="U142" s="1" t="s">
        <v>1213</v>
      </c>
      <c r="V142" s="1" t="s">
        <v>34</v>
      </c>
      <c r="W142" s="1" t="s">
        <v>416</v>
      </c>
      <c r="X142" s="1" t="s">
        <v>415</v>
      </c>
    </row>
    <row r="143" spans="1:24" ht="30" x14ac:dyDescent="0.25">
      <c r="A143" s="1" t="s">
        <v>250</v>
      </c>
      <c r="B143" s="2" t="s">
        <v>251</v>
      </c>
      <c r="C143" s="2" t="s">
        <v>252</v>
      </c>
      <c r="D143" s="2" t="s">
        <v>765</v>
      </c>
      <c r="E143" s="2" t="s">
        <v>48</v>
      </c>
      <c r="F143" s="3">
        <v>7074947902</v>
      </c>
      <c r="G143" s="3">
        <v>5105452033</v>
      </c>
      <c r="H143" s="1" t="s">
        <v>34</v>
      </c>
      <c r="I143" s="1">
        <v>967354</v>
      </c>
      <c r="J143" s="1" t="s">
        <v>48</v>
      </c>
      <c r="K143" s="1" t="s">
        <v>35</v>
      </c>
      <c r="L143" s="1" t="s">
        <v>961</v>
      </c>
      <c r="M143" s="1" t="s">
        <v>2</v>
      </c>
      <c r="N143" s="1" t="s">
        <v>3</v>
      </c>
      <c r="O143" s="1" t="s">
        <v>0</v>
      </c>
      <c r="P143" s="1" t="s">
        <v>1</v>
      </c>
      <c r="Q143" s="1" t="s">
        <v>34</v>
      </c>
      <c r="R143" s="1" t="s">
        <v>34</v>
      </c>
      <c r="S143" s="1" t="s">
        <v>34</v>
      </c>
      <c r="T143" s="1" t="s">
        <v>36</v>
      </c>
      <c r="U143" s="1" t="s">
        <v>1213</v>
      </c>
      <c r="V143" s="1" t="s">
        <v>1210</v>
      </c>
      <c r="W143" s="1" t="s">
        <v>1213</v>
      </c>
      <c r="X143" s="1" t="s">
        <v>1213</v>
      </c>
    </row>
    <row r="144" spans="1:24" ht="30" x14ac:dyDescent="0.25">
      <c r="A144" s="1" t="s">
        <v>900</v>
      </c>
      <c r="B144" s="5" t="s">
        <v>899</v>
      </c>
      <c r="C144" s="2" t="s">
        <v>717</v>
      </c>
      <c r="D144" s="2" t="s">
        <v>48</v>
      </c>
      <c r="E144" s="2" t="s">
        <v>48</v>
      </c>
      <c r="F144" s="3">
        <v>3232173797</v>
      </c>
      <c r="G144" s="4" t="s">
        <v>48</v>
      </c>
      <c r="H144" s="1" t="s">
        <v>34</v>
      </c>
      <c r="I144" s="1">
        <v>975745</v>
      </c>
      <c r="J144" s="1" t="s">
        <v>48</v>
      </c>
      <c r="K144" s="1" t="s">
        <v>35</v>
      </c>
      <c r="L144" s="1" t="s">
        <v>961</v>
      </c>
      <c r="M144" s="1" t="s">
        <v>2</v>
      </c>
      <c r="N144" s="1" t="s">
        <v>3</v>
      </c>
      <c r="O144" s="1" t="s">
        <v>0</v>
      </c>
      <c r="Q144" s="1" t="s">
        <v>34</v>
      </c>
      <c r="R144" s="1" t="s">
        <v>36</v>
      </c>
      <c r="S144" s="1" t="s">
        <v>34</v>
      </c>
      <c r="T144" s="1" t="s">
        <v>34</v>
      </c>
      <c r="U144" s="1" t="s">
        <v>718</v>
      </c>
      <c r="V144" s="1" t="s">
        <v>1210</v>
      </c>
      <c r="W144" s="1" t="s">
        <v>1213</v>
      </c>
      <c r="X144" s="1" t="s">
        <v>719</v>
      </c>
    </row>
    <row r="145" spans="1:24" ht="30" x14ac:dyDescent="0.25">
      <c r="A145" s="1" t="s">
        <v>136</v>
      </c>
      <c r="B145" s="2" t="s">
        <v>137</v>
      </c>
      <c r="C145" s="2" t="s">
        <v>138</v>
      </c>
      <c r="D145" s="2" t="s">
        <v>48</v>
      </c>
      <c r="E145" s="2" t="s">
        <v>48</v>
      </c>
      <c r="F145" s="3">
        <v>9162935900</v>
      </c>
      <c r="G145" s="4" t="s">
        <v>48</v>
      </c>
      <c r="H145" s="1" t="s">
        <v>34</v>
      </c>
      <c r="I145" s="1">
        <v>1007601</v>
      </c>
      <c r="J145" s="1" t="s">
        <v>48</v>
      </c>
      <c r="K145" s="1" t="s">
        <v>35</v>
      </c>
      <c r="L145" s="1" t="s">
        <v>961</v>
      </c>
      <c r="M145" s="1" t="s">
        <v>2</v>
      </c>
      <c r="N145" s="1" t="s">
        <v>3</v>
      </c>
      <c r="O145" s="1" t="s">
        <v>0</v>
      </c>
      <c r="P145" s="1" t="s">
        <v>1</v>
      </c>
      <c r="Q145" s="1" t="s">
        <v>34</v>
      </c>
      <c r="R145" s="1" t="s">
        <v>34</v>
      </c>
      <c r="S145" s="1" t="s">
        <v>34</v>
      </c>
      <c r="T145" s="1" t="s">
        <v>36</v>
      </c>
      <c r="U145" s="1" t="s">
        <v>1213</v>
      </c>
      <c r="V145" s="1" t="s">
        <v>1210</v>
      </c>
      <c r="W145" s="1" t="s">
        <v>1213</v>
      </c>
      <c r="X145" s="1" t="s">
        <v>1088</v>
      </c>
    </row>
    <row r="146" spans="1:24" ht="30" x14ac:dyDescent="0.25">
      <c r="A146" s="1" t="s">
        <v>535</v>
      </c>
      <c r="B146" s="2" t="s">
        <v>361</v>
      </c>
      <c r="C146" s="2" t="s">
        <v>536</v>
      </c>
      <c r="D146" s="2" t="s">
        <v>48</v>
      </c>
      <c r="E146" s="2" t="s">
        <v>48</v>
      </c>
      <c r="F146" s="3">
        <v>7605466000</v>
      </c>
      <c r="G146" s="4" t="s">
        <v>48</v>
      </c>
      <c r="H146" s="1" t="s">
        <v>34</v>
      </c>
      <c r="I146" s="1">
        <v>858088</v>
      </c>
      <c r="J146" s="1" t="s">
        <v>48</v>
      </c>
      <c r="L146" s="1" t="s">
        <v>44</v>
      </c>
      <c r="N146" s="1" t="s">
        <v>3</v>
      </c>
      <c r="Q146" s="1" t="s">
        <v>1210</v>
      </c>
      <c r="R146" s="1" t="s">
        <v>1210</v>
      </c>
      <c r="S146" s="1" t="s">
        <v>1210</v>
      </c>
      <c r="T146" s="1" t="s">
        <v>36</v>
      </c>
      <c r="U146" s="1" t="s">
        <v>1213</v>
      </c>
      <c r="V146" s="1" t="s">
        <v>1210</v>
      </c>
      <c r="W146" s="1" t="s">
        <v>1213</v>
      </c>
      <c r="X146" s="1" t="s">
        <v>1213</v>
      </c>
    </row>
    <row r="147" spans="1:24" ht="120" x14ac:dyDescent="0.25">
      <c r="A147" s="1" t="s">
        <v>951</v>
      </c>
      <c r="B147" s="2" t="s">
        <v>836</v>
      </c>
      <c r="C147" s="2" t="s">
        <v>837</v>
      </c>
      <c r="D147" s="2" t="s">
        <v>48</v>
      </c>
      <c r="E147" s="2" t="s">
        <v>48</v>
      </c>
      <c r="F147" s="3">
        <v>8188350347</v>
      </c>
      <c r="G147" s="4" t="s">
        <v>48</v>
      </c>
      <c r="H147" s="1" t="s">
        <v>34</v>
      </c>
      <c r="I147" s="1">
        <v>1050670</v>
      </c>
      <c r="J147" s="1" t="s">
        <v>48</v>
      </c>
      <c r="K147" s="1" t="s">
        <v>35</v>
      </c>
      <c r="M147" s="1" t="s">
        <v>2</v>
      </c>
      <c r="N147" s="1" t="s">
        <v>3</v>
      </c>
      <c r="O147" s="1" t="s">
        <v>0</v>
      </c>
      <c r="P147" s="1" t="s">
        <v>1</v>
      </c>
      <c r="Q147" s="1" t="s">
        <v>34</v>
      </c>
      <c r="R147" s="1" t="s">
        <v>34</v>
      </c>
      <c r="S147" s="1" t="s">
        <v>34</v>
      </c>
      <c r="T147" s="1" t="s">
        <v>34</v>
      </c>
      <c r="U147" s="1" t="s">
        <v>1201</v>
      </c>
      <c r="V147" s="1" t="s">
        <v>34</v>
      </c>
      <c r="W147" s="1" t="s">
        <v>1162</v>
      </c>
      <c r="X147" s="1" t="s">
        <v>1213</v>
      </c>
    </row>
    <row r="148" spans="1:24" ht="135" x14ac:dyDescent="0.25">
      <c r="A148" s="1" t="s">
        <v>145</v>
      </c>
      <c r="B148" s="2" t="s">
        <v>146</v>
      </c>
      <c r="C148" s="2" t="s">
        <v>479</v>
      </c>
      <c r="D148" s="2" t="s">
        <v>843</v>
      </c>
      <c r="E148" s="2" t="s">
        <v>147</v>
      </c>
      <c r="F148" s="3">
        <v>8554446329</v>
      </c>
      <c r="G148" s="3">
        <v>9516631189</v>
      </c>
      <c r="H148" s="1" t="s">
        <v>34</v>
      </c>
      <c r="I148" s="1">
        <v>812958</v>
      </c>
      <c r="J148" s="1" t="s">
        <v>48</v>
      </c>
      <c r="K148" s="1" t="s">
        <v>35</v>
      </c>
      <c r="L148" s="1" t="s">
        <v>44</v>
      </c>
      <c r="M148" s="1" t="s">
        <v>2</v>
      </c>
      <c r="N148" s="1" t="s">
        <v>3</v>
      </c>
      <c r="O148" s="1" t="s">
        <v>0</v>
      </c>
      <c r="P148" s="1" t="s">
        <v>1</v>
      </c>
      <c r="Q148" s="1" t="s">
        <v>34</v>
      </c>
      <c r="R148" s="1" t="s">
        <v>34</v>
      </c>
      <c r="S148" s="1" t="s">
        <v>34</v>
      </c>
      <c r="T148" s="1" t="s">
        <v>36</v>
      </c>
      <c r="U148" s="1" t="s">
        <v>1213</v>
      </c>
      <c r="V148" s="1" t="s">
        <v>34</v>
      </c>
      <c r="W148" s="1" t="s">
        <v>1163</v>
      </c>
      <c r="X148" s="1" t="s">
        <v>1089</v>
      </c>
    </row>
    <row r="149" spans="1:24" ht="60" x14ac:dyDescent="0.25">
      <c r="A149" s="1" t="s">
        <v>948</v>
      </c>
      <c r="B149" s="2" t="s">
        <v>832</v>
      </c>
      <c r="C149" s="2" t="s">
        <v>833</v>
      </c>
      <c r="D149" s="2" t="s">
        <v>48</v>
      </c>
      <c r="E149" s="2" t="s">
        <v>48</v>
      </c>
      <c r="F149" s="3">
        <v>5624315511</v>
      </c>
      <c r="G149" s="4" t="s">
        <v>48</v>
      </c>
      <c r="H149" s="1" t="s">
        <v>34</v>
      </c>
      <c r="I149" s="1">
        <v>933867</v>
      </c>
      <c r="J149" s="1" t="s">
        <v>48</v>
      </c>
      <c r="K149" s="1" t="s">
        <v>35</v>
      </c>
      <c r="M149" s="1" t="s">
        <v>2</v>
      </c>
      <c r="O149" s="1" t="s">
        <v>0</v>
      </c>
      <c r="Q149" s="1" t="s">
        <v>34</v>
      </c>
      <c r="R149" s="1" t="s">
        <v>34</v>
      </c>
      <c r="S149" s="1" t="s">
        <v>34</v>
      </c>
      <c r="T149" s="1" t="s">
        <v>34</v>
      </c>
      <c r="U149" s="1" t="s">
        <v>1164</v>
      </c>
      <c r="V149" s="1" t="s">
        <v>34</v>
      </c>
      <c r="W149" s="1" t="s">
        <v>1165</v>
      </c>
      <c r="X149" s="1" t="s">
        <v>834</v>
      </c>
    </row>
    <row r="150" spans="1:24" ht="30" x14ac:dyDescent="0.25">
      <c r="A150" s="1" t="s">
        <v>880</v>
      </c>
      <c r="B150" s="2" t="s">
        <v>657</v>
      </c>
      <c r="C150" s="2" t="s">
        <v>658</v>
      </c>
      <c r="D150" s="2" t="s">
        <v>48</v>
      </c>
      <c r="E150" s="2" t="s">
        <v>48</v>
      </c>
      <c r="F150" s="3">
        <v>8446748787</v>
      </c>
      <c r="G150" s="4" t="s">
        <v>48</v>
      </c>
      <c r="H150" s="1" t="s">
        <v>34</v>
      </c>
      <c r="I150" s="1">
        <v>1038502</v>
      </c>
      <c r="J150" s="1" t="s">
        <v>48</v>
      </c>
      <c r="K150" s="1" t="s">
        <v>35</v>
      </c>
      <c r="M150" s="1" t="s">
        <v>2</v>
      </c>
      <c r="O150" s="1" t="s">
        <v>0</v>
      </c>
      <c r="Q150" s="1" t="s">
        <v>36</v>
      </c>
      <c r="R150" s="1" t="s">
        <v>36</v>
      </c>
      <c r="S150" s="1" t="s">
        <v>36</v>
      </c>
      <c r="T150" s="1" t="s">
        <v>34</v>
      </c>
      <c r="U150" s="1" t="s">
        <v>1166</v>
      </c>
      <c r="V150" s="1" t="s">
        <v>1210</v>
      </c>
      <c r="W150" s="1" t="s">
        <v>1213</v>
      </c>
      <c r="X150" s="1" t="s">
        <v>659</v>
      </c>
    </row>
    <row r="151" spans="1:24" ht="30" x14ac:dyDescent="0.25">
      <c r="A151" s="1" t="s">
        <v>431</v>
      </c>
      <c r="B151" s="2" t="s">
        <v>432</v>
      </c>
      <c r="C151" s="2" t="s">
        <v>433</v>
      </c>
      <c r="D151" s="2" t="s">
        <v>48</v>
      </c>
      <c r="E151" s="2" t="s">
        <v>48</v>
      </c>
      <c r="F151" s="3">
        <v>6267936025</v>
      </c>
      <c r="G151" s="4" t="s">
        <v>48</v>
      </c>
      <c r="H151" s="1" t="s">
        <v>34</v>
      </c>
      <c r="I151" s="1">
        <v>919287</v>
      </c>
      <c r="J151" s="1" t="s">
        <v>48</v>
      </c>
      <c r="K151" s="1" t="s">
        <v>35</v>
      </c>
      <c r="M151" s="1" t="s">
        <v>2</v>
      </c>
      <c r="O151" s="1" t="s">
        <v>0</v>
      </c>
      <c r="Q151" s="1" t="s">
        <v>1210</v>
      </c>
      <c r="R151" s="1" t="s">
        <v>1210</v>
      </c>
      <c r="S151" s="1" t="s">
        <v>1210</v>
      </c>
      <c r="T151" s="1" t="s">
        <v>36</v>
      </c>
      <c r="U151" s="1" t="s">
        <v>1213</v>
      </c>
      <c r="V151" s="1" t="s">
        <v>1210</v>
      </c>
      <c r="W151" s="1" t="s">
        <v>1213</v>
      </c>
      <c r="X151" s="1" t="s">
        <v>1213</v>
      </c>
    </row>
    <row r="152" spans="1:24" ht="135" x14ac:dyDescent="0.25">
      <c r="A152" s="1" t="s">
        <v>363</v>
      </c>
      <c r="B152" s="2" t="s">
        <v>364</v>
      </c>
      <c r="C152" s="2" t="s">
        <v>1032</v>
      </c>
      <c r="D152" s="2" t="s">
        <v>48</v>
      </c>
      <c r="E152" s="2" t="s">
        <v>48</v>
      </c>
      <c r="F152" s="3">
        <v>5303427304</v>
      </c>
      <c r="G152" s="4" t="s">
        <v>48</v>
      </c>
      <c r="H152" s="1" t="s">
        <v>34</v>
      </c>
      <c r="I152" s="1">
        <v>813508</v>
      </c>
      <c r="J152" s="1" t="s">
        <v>48</v>
      </c>
      <c r="K152" s="1" t="s">
        <v>35</v>
      </c>
      <c r="L152" s="1" t="s">
        <v>961</v>
      </c>
      <c r="M152" s="1" t="s">
        <v>2</v>
      </c>
      <c r="N152" s="1" t="s">
        <v>3</v>
      </c>
      <c r="O152" s="1" t="s">
        <v>0</v>
      </c>
      <c r="Q152" s="1" t="s">
        <v>34</v>
      </c>
      <c r="R152" s="1" t="s">
        <v>34</v>
      </c>
      <c r="S152" s="1" t="s">
        <v>34</v>
      </c>
      <c r="T152" s="1" t="s">
        <v>34</v>
      </c>
      <c r="U152" s="1" t="s">
        <v>365</v>
      </c>
      <c r="V152" s="1" t="s">
        <v>34</v>
      </c>
      <c r="W152" s="1" t="s">
        <v>1033</v>
      </c>
      <c r="X152" s="1" t="s">
        <v>1167</v>
      </c>
    </row>
    <row r="153" spans="1:24" ht="30" x14ac:dyDescent="0.25">
      <c r="A153" s="1" t="s">
        <v>468</v>
      </c>
      <c r="B153" s="2" t="s">
        <v>1034</v>
      </c>
      <c r="C153" s="2" t="s">
        <v>1035</v>
      </c>
      <c r="D153" s="2" t="s">
        <v>48</v>
      </c>
      <c r="E153" s="2" t="s">
        <v>48</v>
      </c>
      <c r="F153" s="3">
        <v>7075287652</v>
      </c>
      <c r="G153" s="4" t="s">
        <v>48</v>
      </c>
      <c r="H153" s="1" t="s">
        <v>34</v>
      </c>
      <c r="I153" s="1">
        <v>939082</v>
      </c>
      <c r="J153" s="1" t="s">
        <v>48</v>
      </c>
      <c r="K153" s="1" t="s">
        <v>35</v>
      </c>
      <c r="L153" s="1" t="s">
        <v>961</v>
      </c>
      <c r="M153" s="1" t="s">
        <v>2</v>
      </c>
      <c r="N153" s="1" t="s">
        <v>3</v>
      </c>
      <c r="O153" s="1" t="s">
        <v>0</v>
      </c>
      <c r="P153" s="1" t="s">
        <v>1</v>
      </c>
      <c r="Q153" s="1" t="s">
        <v>34</v>
      </c>
      <c r="R153" s="1" t="s">
        <v>34</v>
      </c>
      <c r="S153" s="1" t="s">
        <v>34</v>
      </c>
      <c r="T153" s="1" t="s">
        <v>34</v>
      </c>
      <c r="U153" s="1" t="s">
        <v>469</v>
      </c>
      <c r="V153" s="1" t="s">
        <v>34</v>
      </c>
      <c r="W153" s="1" t="s">
        <v>470</v>
      </c>
      <c r="X153" s="1" t="s">
        <v>1213</v>
      </c>
    </row>
    <row r="154" spans="1:24" ht="30" x14ac:dyDescent="0.25">
      <c r="A154" s="1" t="s">
        <v>935</v>
      </c>
      <c r="B154" s="2" t="s">
        <v>797</v>
      </c>
      <c r="C154" s="2" t="s">
        <v>798</v>
      </c>
      <c r="D154" s="2" t="s">
        <v>48</v>
      </c>
      <c r="E154" s="2" t="s">
        <v>48</v>
      </c>
      <c r="F154" s="3">
        <v>8184442020</v>
      </c>
      <c r="G154" s="4" t="s">
        <v>48</v>
      </c>
      <c r="H154" s="1" t="s">
        <v>34</v>
      </c>
      <c r="I154" s="2">
        <v>1026168</v>
      </c>
      <c r="J154" s="1" t="s">
        <v>48</v>
      </c>
      <c r="K154" s="1" t="s">
        <v>35</v>
      </c>
      <c r="M154" s="1" t="s">
        <v>2</v>
      </c>
      <c r="O154" s="1" t="s">
        <v>0</v>
      </c>
      <c r="Q154" s="1" t="s">
        <v>34</v>
      </c>
      <c r="R154" s="1" t="s">
        <v>34</v>
      </c>
      <c r="S154" s="1" t="s">
        <v>34</v>
      </c>
      <c r="T154" s="1" t="s">
        <v>34</v>
      </c>
      <c r="U154" s="1" t="s">
        <v>799</v>
      </c>
      <c r="V154" s="1" t="s">
        <v>1210</v>
      </c>
      <c r="W154" s="1" t="s">
        <v>1213</v>
      </c>
      <c r="X154" s="1" t="s">
        <v>1213</v>
      </c>
    </row>
    <row r="155" spans="1:24" ht="30" x14ac:dyDescent="0.25">
      <c r="A155" s="1" t="s">
        <v>1036</v>
      </c>
      <c r="B155" s="2" t="s">
        <v>546</v>
      </c>
      <c r="C155" s="2" t="s">
        <v>547</v>
      </c>
      <c r="D155" s="2" t="s">
        <v>548</v>
      </c>
      <c r="E155" s="2" t="s">
        <v>48</v>
      </c>
      <c r="F155" s="3">
        <v>4156818861</v>
      </c>
      <c r="G155" s="4" t="s">
        <v>48</v>
      </c>
      <c r="H155" s="1" t="s">
        <v>34</v>
      </c>
      <c r="I155" s="1">
        <v>591549</v>
      </c>
      <c r="J155" s="1" t="s">
        <v>48</v>
      </c>
      <c r="K155" s="1" t="s">
        <v>35</v>
      </c>
      <c r="L155" s="1" t="s">
        <v>961</v>
      </c>
      <c r="M155" s="1" t="s">
        <v>2</v>
      </c>
      <c r="N155" s="1" t="s">
        <v>3</v>
      </c>
      <c r="O155" s="1" t="s">
        <v>0</v>
      </c>
      <c r="Q155" s="1" t="s">
        <v>34</v>
      </c>
      <c r="R155" s="1" t="s">
        <v>36</v>
      </c>
      <c r="S155" s="1" t="s">
        <v>34</v>
      </c>
      <c r="T155" s="1" t="s">
        <v>36</v>
      </c>
      <c r="U155" s="1" t="s">
        <v>1213</v>
      </c>
      <c r="V155" s="1" t="s">
        <v>1210</v>
      </c>
      <c r="W155" s="1" t="s">
        <v>1213</v>
      </c>
      <c r="X155" s="1" t="s">
        <v>1213</v>
      </c>
    </row>
    <row r="156" spans="1:24" ht="30" x14ac:dyDescent="0.25">
      <c r="A156" s="1" t="s">
        <v>264</v>
      </c>
      <c r="B156" s="2" t="s">
        <v>265</v>
      </c>
      <c r="C156" s="2" t="s">
        <v>266</v>
      </c>
      <c r="D156" s="2" t="s">
        <v>48</v>
      </c>
      <c r="E156" s="2" t="s">
        <v>48</v>
      </c>
      <c r="F156" s="3">
        <v>6265003870</v>
      </c>
      <c r="G156" s="4" t="s">
        <v>48</v>
      </c>
      <c r="H156" s="1" t="s">
        <v>34</v>
      </c>
      <c r="I156" s="1">
        <v>985340</v>
      </c>
      <c r="J156" s="1" t="s">
        <v>48</v>
      </c>
      <c r="K156" s="1" t="s">
        <v>35</v>
      </c>
      <c r="M156" s="1" t="s">
        <v>2</v>
      </c>
      <c r="N156" s="1" t="s">
        <v>3</v>
      </c>
      <c r="O156" s="1" t="s">
        <v>0</v>
      </c>
      <c r="Q156" s="1" t="s">
        <v>34</v>
      </c>
      <c r="R156" s="1" t="s">
        <v>34</v>
      </c>
      <c r="S156" s="1" t="s">
        <v>34</v>
      </c>
      <c r="T156" s="1" t="s">
        <v>34</v>
      </c>
      <c r="U156" s="1" t="s">
        <v>1168</v>
      </c>
      <c r="V156" s="1" t="s">
        <v>34</v>
      </c>
      <c r="W156" s="1" t="s">
        <v>1038</v>
      </c>
      <c r="X156" s="1" t="s">
        <v>1037</v>
      </c>
    </row>
    <row r="157" spans="1:24" ht="60" x14ac:dyDescent="0.25">
      <c r="A157" s="1" t="s">
        <v>286</v>
      </c>
      <c r="B157" s="2" t="s">
        <v>287</v>
      </c>
      <c r="C157" s="2" t="s">
        <v>288</v>
      </c>
      <c r="D157" s="2" t="s">
        <v>48</v>
      </c>
      <c r="E157" s="2" t="s">
        <v>48</v>
      </c>
      <c r="F157" s="3">
        <v>4152998989</v>
      </c>
      <c r="G157" s="4" t="s">
        <v>48</v>
      </c>
      <c r="H157" s="1" t="s">
        <v>34</v>
      </c>
      <c r="I157" s="1">
        <v>995228</v>
      </c>
      <c r="J157" s="1" t="s">
        <v>48</v>
      </c>
      <c r="K157" s="1" t="s">
        <v>35</v>
      </c>
      <c r="L157" s="1" t="s">
        <v>961</v>
      </c>
      <c r="M157" s="1" t="s">
        <v>2</v>
      </c>
      <c r="N157" s="1" t="s">
        <v>3</v>
      </c>
      <c r="O157" s="1" t="s">
        <v>0</v>
      </c>
      <c r="P157" s="1" t="s">
        <v>1</v>
      </c>
      <c r="Q157" s="1" t="s">
        <v>34</v>
      </c>
      <c r="R157" s="1" t="s">
        <v>34</v>
      </c>
      <c r="S157" s="1" t="s">
        <v>34</v>
      </c>
      <c r="T157" s="1" t="s">
        <v>34</v>
      </c>
      <c r="U157" s="1" t="s">
        <v>1169</v>
      </c>
      <c r="V157" s="1" t="s">
        <v>34</v>
      </c>
      <c r="W157" s="1" t="s">
        <v>1039</v>
      </c>
      <c r="X157" s="1" t="s">
        <v>289</v>
      </c>
    </row>
    <row r="158" spans="1:24" ht="30" x14ac:dyDescent="0.25">
      <c r="A158" s="1" t="s">
        <v>983</v>
      </c>
      <c r="B158" s="2" t="s">
        <v>511</v>
      </c>
      <c r="C158" s="2" t="s">
        <v>512</v>
      </c>
      <c r="D158" s="2" t="s">
        <v>48</v>
      </c>
      <c r="E158" s="2" t="s">
        <v>48</v>
      </c>
      <c r="F158" s="3">
        <v>2098256660</v>
      </c>
      <c r="G158" s="4" t="s">
        <v>48</v>
      </c>
      <c r="H158" s="1" t="s">
        <v>34</v>
      </c>
      <c r="I158" s="1">
        <v>750852</v>
      </c>
      <c r="J158" s="1" t="s">
        <v>48</v>
      </c>
      <c r="K158" s="1" t="s">
        <v>35</v>
      </c>
      <c r="L158" s="1" t="s">
        <v>961</v>
      </c>
      <c r="M158" s="1" t="s">
        <v>2</v>
      </c>
      <c r="O158" s="1" t="s">
        <v>0</v>
      </c>
      <c r="Q158" s="1" t="s">
        <v>34</v>
      </c>
      <c r="R158" s="1" t="s">
        <v>34</v>
      </c>
      <c r="S158" s="1" t="s">
        <v>34</v>
      </c>
      <c r="T158" s="1" t="s">
        <v>36</v>
      </c>
      <c r="U158" s="1" t="s">
        <v>1213</v>
      </c>
      <c r="V158" s="1" t="s">
        <v>1210</v>
      </c>
      <c r="W158" s="1" t="s">
        <v>1213</v>
      </c>
      <c r="X158" s="1" t="s">
        <v>1213</v>
      </c>
    </row>
    <row r="159" spans="1:24" ht="60" x14ac:dyDescent="0.25">
      <c r="A159" s="1" t="s">
        <v>903</v>
      </c>
      <c r="B159" s="2" t="s">
        <v>724</v>
      </c>
      <c r="C159" s="2" t="s">
        <v>725</v>
      </c>
      <c r="D159" s="2" t="s">
        <v>48</v>
      </c>
      <c r="E159" s="2" t="s">
        <v>48</v>
      </c>
      <c r="F159" s="3">
        <v>9513081800</v>
      </c>
      <c r="G159" s="4" t="s">
        <v>48</v>
      </c>
      <c r="H159" s="1" t="s">
        <v>34</v>
      </c>
      <c r="I159" s="1">
        <v>896158</v>
      </c>
      <c r="J159" s="1" t="s">
        <v>48</v>
      </c>
      <c r="L159" s="1" t="s">
        <v>44</v>
      </c>
      <c r="N159" s="1" t="s">
        <v>3</v>
      </c>
      <c r="Q159" s="1" t="s">
        <v>34</v>
      </c>
      <c r="R159" s="1" t="s">
        <v>34</v>
      </c>
      <c r="S159" s="1" t="s">
        <v>34</v>
      </c>
      <c r="T159" s="1" t="s">
        <v>34</v>
      </c>
      <c r="U159" s="1" t="s">
        <v>726</v>
      </c>
      <c r="V159" s="1" t="s">
        <v>34</v>
      </c>
      <c r="W159" s="1" t="s">
        <v>1040</v>
      </c>
      <c r="X159" s="1" t="s">
        <v>727</v>
      </c>
    </row>
    <row r="160" spans="1:24" ht="45" x14ac:dyDescent="0.25">
      <c r="A160" s="1" t="s">
        <v>559</v>
      </c>
      <c r="B160" s="2" t="s">
        <v>560</v>
      </c>
      <c r="C160" s="2" t="s">
        <v>561</v>
      </c>
      <c r="D160" s="2" t="s">
        <v>48</v>
      </c>
      <c r="E160" s="2" t="s">
        <v>48</v>
      </c>
      <c r="F160" s="3">
        <v>8003109080</v>
      </c>
      <c r="G160" s="4" t="s">
        <v>48</v>
      </c>
      <c r="H160" s="1" t="s">
        <v>34</v>
      </c>
      <c r="I160" s="1">
        <v>888597</v>
      </c>
      <c r="J160" s="1" t="s">
        <v>48</v>
      </c>
      <c r="K160" s="1" t="s">
        <v>35</v>
      </c>
      <c r="O160" s="1" t="s">
        <v>0</v>
      </c>
      <c r="Q160" s="1" t="s">
        <v>34</v>
      </c>
      <c r="R160" s="1" t="s">
        <v>34</v>
      </c>
      <c r="S160" s="1" t="s">
        <v>34</v>
      </c>
      <c r="T160" s="1" t="s">
        <v>34</v>
      </c>
      <c r="U160" s="1" t="s">
        <v>1213</v>
      </c>
      <c r="V160" s="1" t="s">
        <v>34</v>
      </c>
      <c r="W160" s="1" t="s">
        <v>1042</v>
      </c>
      <c r="X160" s="1" t="s">
        <v>1041</v>
      </c>
    </row>
    <row r="161" spans="1:24" ht="135" x14ac:dyDescent="0.25">
      <c r="A161" s="1" t="s">
        <v>156</v>
      </c>
      <c r="B161" s="2" t="s">
        <v>157</v>
      </c>
      <c r="C161" s="2" t="s">
        <v>158</v>
      </c>
      <c r="D161" s="2" t="s">
        <v>48</v>
      </c>
      <c r="E161" s="2" t="s">
        <v>48</v>
      </c>
      <c r="F161" s="3">
        <v>7605040388</v>
      </c>
      <c r="G161" s="4" t="s">
        <v>48</v>
      </c>
      <c r="H161" s="1" t="s">
        <v>34</v>
      </c>
      <c r="I161" s="1">
        <v>945152</v>
      </c>
      <c r="J161" s="1" t="s">
        <v>48</v>
      </c>
      <c r="K161" s="1" t="s">
        <v>35</v>
      </c>
      <c r="M161" s="1" t="s">
        <v>2</v>
      </c>
      <c r="O161" s="1" t="s">
        <v>0</v>
      </c>
      <c r="Q161" s="1" t="s">
        <v>34</v>
      </c>
      <c r="R161" s="1" t="s">
        <v>34</v>
      </c>
      <c r="S161" s="1" t="s">
        <v>34</v>
      </c>
      <c r="T161" s="1" t="s">
        <v>36</v>
      </c>
      <c r="U161" s="1" t="s">
        <v>1213</v>
      </c>
      <c r="V161" s="1" t="s">
        <v>34</v>
      </c>
      <c r="W161" s="1" t="s">
        <v>159</v>
      </c>
      <c r="X161" s="1" t="s">
        <v>1112</v>
      </c>
    </row>
    <row r="162" spans="1:24" ht="30" x14ac:dyDescent="0.25">
      <c r="A162" s="1" t="s">
        <v>910</v>
      </c>
      <c r="B162" s="2" t="s">
        <v>746</v>
      </c>
      <c r="C162" s="2" t="s">
        <v>747</v>
      </c>
      <c r="D162" s="2" t="s">
        <v>48</v>
      </c>
      <c r="E162" s="2" t="s">
        <v>48</v>
      </c>
      <c r="F162" s="3">
        <v>8315562715</v>
      </c>
      <c r="G162" s="4" t="s">
        <v>48</v>
      </c>
      <c r="H162" s="1" t="s">
        <v>34</v>
      </c>
      <c r="I162" s="1">
        <v>988549</v>
      </c>
      <c r="J162" s="1" t="s">
        <v>48</v>
      </c>
      <c r="K162" s="1" t="s">
        <v>35</v>
      </c>
      <c r="L162" s="1" t="s">
        <v>961</v>
      </c>
      <c r="M162" s="1" t="s">
        <v>2</v>
      </c>
      <c r="O162" s="1" t="s">
        <v>0</v>
      </c>
      <c r="Q162" s="1" t="s">
        <v>34</v>
      </c>
      <c r="R162" s="1" t="s">
        <v>36</v>
      </c>
      <c r="S162" s="1" t="s">
        <v>36</v>
      </c>
      <c r="T162" s="1" t="s">
        <v>36</v>
      </c>
      <c r="U162" s="1" t="s">
        <v>1213</v>
      </c>
      <c r="V162" s="1" t="s">
        <v>1210</v>
      </c>
      <c r="W162" s="1" t="s">
        <v>1213</v>
      </c>
      <c r="X162" s="1" t="s">
        <v>1213</v>
      </c>
    </row>
    <row r="163" spans="1:24" ht="30" x14ac:dyDescent="0.25">
      <c r="A163" s="1" t="s">
        <v>921</v>
      </c>
      <c r="B163" s="2" t="s">
        <v>766</v>
      </c>
      <c r="C163" s="2" t="s">
        <v>1043</v>
      </c>
      <c r="D163" s="2" t="s">
        <v>48</v>
      </c>
      <c r="E163" s="2" t="s">
        <v>48</v>
      </c>
      <c r="F163" s="3">
        <v>8053513371</v>
      </c>
      <c r="G163" s="4" t="s">
        <v>48</v>
      </c>
      <c r="H163" s="1" t="s">
        <v>34</v>
      </c>
      <c r="I163" s="2">
        <v>1003044</v>
      </c>
      <c r="J163" s="1" t="s">
        <v>48</v>
      </c>
      <c r="K163" s="1" t="s">
        <v>35</v>
      </c>
      <c r="L163" s="1" t="s">
        <v>961</v>
      </c>
      <c r="M163" s="1" t="s">
        <v>2</v>
      </c>
      <c r="N163" s="1" t="s">
        <v>3</v>
      </c>
      <c r="O163" s="1" t="s">
        <v>0</v>
      </c>
      <c r="P163" s="1" t="s">
        <v>1</v>
      </c>
      <c r="Q163" s="1" t="s">
        <v>34</v>
      </c>
      <c r="R163" s="1" t="s">
        <v>36</v>
      </c>
      <c r="S163" s="1" t="s">
        <v>34</v>
      </c>
      <c r="T163" s="1" t="s">
        <v>34</v>
      </c>
      <c r="U163" s="1" t="s">
        <v>1170</v>
      </c>
      <c r="V163" s="1" t="s">
        <v>1210</v>
      </c>
      <c r="W163" s="1" t="s">
        <v>1213</v>
      </c>
      <c r="X163" s="1" t="s">
        <v>174</v>
      </c>
    </row>
    <row r="164" spans="1:24" ht="30" x14ac:dyDescent="0.25">
      <c r="A164" s="1" t="s">
        <v>940</v>
      </c>
      <c r="B164" s="2" t="s">
        <v>806</v>
      </c>
      <c r="C164" s="2" t="s">
        <v>807</v>
      </c>
      <c r="D164" s="2" t="s">
        <v>48</v>
      </c>
      <c r="E164" s="2" t="s">
        <v>48</v>
      </c>
      <c r="F164" s="3">
        <v>8186707769</v>
      </c>
      <c r="G164" s="4" t="s">
        <v>48</v>
      </c>
      <c r="H164" s="1" t="s">
        <v>34</v>
      </c>
      <c r="I164" s="1">
        <v>986882</v>
      </c>
      <c r="J164" s="1" t="s">
        <v>48</v>
      </c>
      <c r="K164" s="1" t="s">
        <v>35</v>
      </c>
      <c r="L164" s="1" t="s">
        <v>961</v>
      </c>
      <c r="M164" s="1" t="s">
        <v>2</v>
      </c>
      <c r="N164" s="1" t="s">
        <v>3</v>
      </c>
      <c r="O164" s="1" t="s">
        <v>0</v>
      </c>
      <c r="Q164" s="1" t="s">
        <v>34</v>
      </c>
      <c r="R164" s="1" t="s">
        <v>34</v>
      </c>
      <c r="S164" s="1" t="s">
        <v>34</v>
      </c>
      <c r="T164" s="1" t="s">
        <v>36</v>
      </c>
      <c r="U164" s="1" t="s">
        <v>1213</v>
      </c>
      <c r="V164" s="1" t="s">
        <v>1210</v>
      </c>
      <c r="W164" s="1" t="s">
        <v>1213</v>
      </c>
      <c r="X164" s="1" t="s">
        <v>1213</v>
      </c>
    </row>
    <row r="165" spans="1:24" ht="60" x14ac:dyDescent="0.25">
      <c r="A165" s="1" t="s">
        <v>484</v>
      </c>
      <c r="B165" s="2" t="s">
        <v>381</v>
      </c>
      <c r="C165" s="2" t="s">
        <v>382</v>
      </c>
      <c r="D165" s="2" t="s">
        <v>48</v>
      </c>
      <c r="E165" s="2" t="s">
        <v>48</v>
      </c>
      <c r="F165" s="3">
        <v>8884447911</v>
      </c>
      <c r="G165" s="4" t="s">
        <v>48</v>
      </c>
      <c r="H165" s="1" t="s">
        <v>34</v>
      </c>
      <c r="I165" s="1">
        <v>978353</v>
      </c>
      <c r="J165" s="1" t="s">
        <v>48</v>
      </c>
      <c r="K165" s="1" t="s">
        <v>35</v>
      </c>
      <c r="L165" s="1" t="s">
        <v>961</v>
      </c>
      <c r="M165" s="1" t="s">
        <v>2</v>
      </c>
      <c r="N165" s="1" t="s">
        <v>3</v>
      </c>
      <c r="O165" s="1" t="s">
        <v>0</v>
      </c>
      <c r="P165" s="1" t="s">
        <v>1</v>
      </c>
      <c r="Q165" s="1" t="s">
        <v>34</v>
      </c>
      <c r="R165" s="1" t="s">
        <v>34</v>
      </c>
      <c r="S165" s="1" t="s">
        <v>34</v>
      </c>
      <c r="T165" s="1" t="s">
        <v>34</v>
      </c>
      <c r="U165" s="1" t="s">
        <v>1171</v>
      </c>
      <c r="V165" s="1" t="s">
        <v>34</v>
      </c>
      <c r="W165" s="1" t="s">
        <v>1173</v>
      </c>
      <c r="X165" s="1" t="s">
        <v>1172</v>
      </c>
    </row>
    <row r="166" spans="1:24" ht="105" x14ac:dyDescent="0.25">
      <c r="A166" s="1" t="s">
        <v>909</v>
      </c>
      <c r="B166" s="2" t="s">
        <v>744</v>
      </c>
      <c r="C166" s="2" t="s">
        <v>745</v>
      </c>
      <c r="D166" s="2" t="s">
        <v>48</v>
      </c>
      <c r="E166" s="2" t="s">
        <v>48</v>
      </c>
      <c r="F166" s="3">
        <v>7074336556</v>
      </c>
      <c r="G166" s="4" t="s">
        <v>48</v>
      </c>
      <c r="H166" s="1" t="s">
        <v>34</v>
      </c>
      <c r="I166" s="1">
        <v>808734</v>
      </c>
      <c r="J166" s="1" t="s">
        <v>48</v>
      </c>
      <c r="K166" s="1" t="s">
        <v>35</v>
      </c>
      <c r="L166" s="1" t="s">
        <v>961</v>
      </c>
      <c r="M166" s="1" t="s">
        <v>2</v>
      </c>
      <c r="O166" s="1" t="s">
        <v>0</v>
      </c>
      <c r="Q166" s="1" t="s">
        <v>34</v>
      </c>
      <c r="R166" s="1" t="s">
        <v>34</v>
      </c>
      <c r="S166" s="1" t="s">
        <v>36</v>
      </c>
      <c r="T166" s="1" t="s">
        <v>36</v>
      </c>
      <c r="U166" s="1" t="s">
        <v>1213</v>
      </c>
      <c r="V166" s="1" t="s">
        <v>1210</v>
      </c>
      <c r="W166" s="1" t="s">
        <v>1213</v>
      </c>
      <c r="X166" s="1" t="s">
        <v>1174</v>
      </c>
    </row>
    <row r="167" spans="1:24" ht="45" x14ac:dyDescent="0.25">
      <c r="A167" s="1" t="s">
        <v>439</v>
      </c>
      <c r="B167" s="2" t="s">
        <v>440</v>
      </c>
      <c r="C167" s="2" t="s">
        <v>441</v>
      </c>
      <c r="D167" s="2" t="s">
        <v>442</v>
      </c>
      <c r="E167" s="2" t="s">
        <v>48</v>
      </c>
      <c r="F167" s="3">
        <v>5592750222</v>
      </c>
      <c r="G167" s="4" t="s">
        <v>48</v>
      </c>
      <c r="H167" s="1" t="s">
        <v>34</v>
      </c>
      <c r="I167" s="1">
        <v>716208</v>
      </c>
      <c r="J167" s="1" t="s">
        <v>48</v>
      </c>
      <c r="K167" s="1" t="s">
        <v>35</v>
      </c>
      <c r="M167" s="1" t="s">
        <v>2</v>
      </c>
      <c r="O167" s="1" t="s">
        <v>0</v>
      </c>
      <c r="P167" s="1" t="s">
        <v>1</v>
      </c>
      <c r="Q167" s="1" t="s">
        <v>34</v>
      </c>
      <c r="R167" s="1" t="s">
        <v>34</v>
      </c>
      <c r="S167" s="1" t="s">
        <v>34</v>
      </c>
      <c r="T167" s="1" t="s">
        <v>34</v>
      </c>
      <c r="U167" s="1" t="s">
        <v>443</v>
      </c>
      <c r="V167" s="1" t="s">
        <v>1210</v>
      </c>
      <c r="W167" s="1" t="s">
        <v>1213</v>
      </c>
      <c r="X167" s="1" t="s">
        <v>1044</v>
      </c>
    </row>
    <row r="168" spans="1:24" ht="30" x14ac:dyDescent="0.25">
      <c r="A168" s="1" t="s">
        <v>541</v>
      </c>
      <c r="B168" s="2" t="s">
        <v>542</v>
      </c>
      <c r="C168" s="2" t="s">
        <v>543</v>
      </c>
      <c r="D168" s="2" t="s">
        <v>48</v>
      </c>
      <c r="E168" s="2" t="s">
        <v>48</v>
      </c>
      <c r="F168" s="3">
        <v>8054456576</v>
      </c>
      <c r="G168" s="4" t="s">
        <v>48</v>
      </c>
      <c r="H168" s="1" t="s">
        <v>34</v>
      </c>
      <c r="I168" s="1">
        <v>956241</v>
      </c>
      <c r="J168" s="1" t="s">
        <v>48</v>
      </c>
      <c r="K168" s="1" t="s">
        <v>35</v>
      </c>
      <c r="L168" s="1" t="s">
        <v>961</v>
      </c>
      <c r="N168" s="1" t="s">
        <v>3</v>
      </c>
      <c r="O168" s="1" t="s">
        <v>0</v>
      </c>
      <c r="Q168" s="1" t="s">
        <v>34</v>
      </c>
      <c r="R168" s="1" t="s">
        <v>34</v>
      </c>
      <c r="S168" s="1" t="s">
        <v>34</v>
      </c>
      <c r="T168" s="1" t="s">
        <v>36</v>
      </c>
      <c r="U168" s="1" t="s">
        <v>1213</v>
      </c>
      <c r="V168" s="1" t="s">
        <v>1210</v>
      </c>
      <c r="W168" s="1" t="s">
        <v>1213</v>
      </c>
      <c r="X168" s="1" t="s">
        <v>1213</v>
      </c>
    </row>
    <row r="169" spans="1:24" ht="30" x14ac:dyDescent="0.25">
      <c r="A169" s="1" t="s">
        <v>423</v>
      </c>
      <c r="B169" s="2" t="s">
        <v>424</v>
      </c>
      <c r="C169" s="2" t="s">
        <v>425</v>
      </c>
      <c r="D169" s="2" t="s">
        <v>48</v>
      </c>
      <c r="E169" s="2" t="s">
        <v>48</v>
      </c>
      <c r="F169" s="3">
        <v>7074858359</v>
      </c>
      <c r="G169" s="4" t="s">
        <v>48</v>
      </c>
      <c r="H169" s="1" t="s">
        <v>34</v>
      </c>
      <c r="I169" s="1">
        <v>1007610</v>
      </c>
      <c r="J169" s="1" t="s">
        <v>48</v>
      </c>
      <c r="L169" s="1" t="s">
        <v>44</v>
      </c>
      <c r="N169" s="1" t="s">
        <v>3</v>
      </c>
      <c r="Q169" s="1" t="s">
        <v>36</v>
      </c>
      <c r="R169" s="1" t="s">
        <v>36</v>
      </c>
      <c r="S169" s="1" t="s">
        <v>36</v>
      </c>
      <c r="T169" s="1" t="s">
        <v>36</v>
      </c>
      <c r="U169" s="1" t="s">
        <v>1213</v>
      </c>
      <c r="V169" s="1" t="s">
        <v>34</v>
      </c>
      <c r="W169" s="1" t="s">
        <v>426</v>
      </c>
      <c r="X169" s="1" t="s">
        <v>1213</v>
      </c>
    </row>
    <row r="170" spans="1:24" ht="30" x14ac:dyDescent="0.25">
      <c r="A170" s="1" t="s">
        <v>354</v>
      </c>
      <c r="B170" s="2" t="s">
        <v>355</v>
      </c>
      <c r="C170" s="2" t="s">
        <v>356</v>
      </c>
      <c r="D170" s="2" t="s">
        <v>48</v>
      </c>
      <c r="E170" s="2" t="s">
        <v>48</v>
      </c>
      <c r="F170" s="3">
        <v>8055862546</v>
      </c>
      <c r="G170" s="4" t="s">
        <v>48</v>
      </c>
      <c r="H170" s="1" t="s">
        <v>34</v>
      </c>
      <c r="I170" s="1">
        <v>990001</v>
      </c>
      <c r="J170" s="1" t="s">
        <v>48</v>
      </c>
      <c r="K170" s="1" t="s">
        <v>35</v>
      </c>
      <c r="M170" s="1" t="s">
        <v>2</v>
      </c>
      <c r="N170" s="1" t="s">
        <v>3</v>
      </c>
      <c r="O170" s="1" t="s">
        <v>0</v>
      </c>
      <c r="P170" s="1" t="s">
        <v>1</v>
      </c>
      <c r="Q170" s="1" t="s">
        <v>34</v>
      </c>
      <c r="R170" s="1" t="s">
        <v>34</v>
      </c>
      <c r="S170" s="1" t="s">
        <v>34</v>
      </c>
      <c r="T170" s="1" t="s">
        <v>36</v>
      </c>
      <c r="U170" s="1" t="s">
        <v>1213</v>
      </c>
      <c r="V170" s="1" t="s">
        <v>1210</v>
      </c>
      <c r="W170" s="1" t="s">
        <v>1213</v>
      </c>
      <c r="X170" s="1" t="s">
        <v>1213</v>
      </c>
    </row>
    <row r="171" spans="1:24" ht="30" x14ac:dyDescent="0.25">
      <c r="A171" s="1" t="s">
        <v>278</v>
      </c>
      <c r="B171" s="2" t="s">
        <v>400</v>
      </c>
      <c r="C171" s="2" t="s">
        <v>279</v>
      </c>
      <c r="D171" s="2" t="s">
        <v>48</v>
      </c>
      <c r="E171" s="2" t="s">
        <v>48</v>
      </c>
      <c r="F171" s="3">
        <v>7602893670</v>
      </c>
      <c r="G171" s="4" t="s">
        <v>48</v>
      </c>
      <c r="H171" s="1" t="s">
        <v>34</v>
      </c>
      <c r="I171" s="1">
        <v>910836</v>
      </c>
      <c r="J171" s="1" t="s">
        <v>48</v>
      </c>
      <c r="K171" s="1" t="s">
        <v>35</v>
      </c>
      <c r="L171" s="1" t="s">
        <v>961</v>
      </c>
      <c r="M171" s="1" t="s">
        <v>2</v>
      </c>
      <c r="N171" s="1" t="s">
        <v>3</v>
      </c>
      <c r="O171" s="1" t="s">
        <v>0</v>
      </c>
      <c r="Q171" s="1" t="s">
        <v>34</v>
      </c>
      <c r="R171" s="1" t="s">
        <v>36</v>
      </c>
      <c r="S171" s="1" t="s">
        <v>34</v>
      </c>
      <c r="T171" s="1" t="s">
        <v>36</v>
      </c>
      <c r="U171" s="1" t="s">
        <v>1213</v>
      </c>
      <c r="V171" s="1" t="s">
        <v>1210</v>
      </c>
      <c r="W171" s="1" t="s">
        <v>1213</v>
      </c>
      <c r="X171" s="1" t="s">
        <v>1213</v>
      </c>
    </row>
    <row r="172" spans="1:24" ht="30" x14ac:dyDescent="0.25">
      <c r="A172" s="1" t="s">
        <v>341</v>
      </c>
      <c r="B172" s="2" t="s">
        <v>342</v>
      </c>
      <c r="C172" s="2" t="s">
        <v>343</v>
      </c>
      <c r="D172" s="2" t="s">
        <v>48</v>
      </c>
      <c r="E172" s="2" t="s">
        <v>48</v>
      </c>
      <c r="F172" s="3">
        <v>9492817171</v>
      </c>
      <c r="G172" s="4" t="s">
        <v>48</v>
      </c>
      <c r="H172" s="1" t="s">
        <v>34</v>
      </c>
      <c r="I172" s="1">
        <v>1038433</v>
      </c>
      <c r="J172" s="1" t="s">
        <v>48</v>
      </c>
      <c r="K172" s="1" t="s">
        <v>35</v>
      </c>
      <c r="L172" s="1" t="s">
        <v>961</v>
      </c>
      <c r="M172" s="1" t="s">
        <v>2</v>
      </c>
      <c r="N172" s="1" t="s">
        <v>3</v>
      </c>
      <c r="O172" s="1" t="s">
        <v>0</v>
      </c>
      <c r="Q172" s="1" t="s">
        <v>1210</v>
      </c>
      <c r="R172" s="1" t="s">
        <v>1210</v>
      </c>
      <c r="S172" s="1" t="s">
        <v>1210</v>
      </c>
      <c r="T172" s="1" t="s">
        <v>34</v>
      </c>
      <c r="U172" s="1" t="s">
        <v>1213</v>
      </c>
      <c r="V172" s="1" t="s">
        <v>1210</v>
      </c>
      <c r="W172" s="1" t="s">
        <v>1213</v>
      </c>
      <c r="X172" s="1" t="s">
        <v>1213</v>
      </c>
    </row>
    <row r="173" spans="1:24" ht="75" x14ac:dyDescent="0.25">
      <c r="A173" s="1" t="s">
        <v>854</v>
      </c>
      <c r="B173" s="2" t="s">
        <v>588</v>
      </c>
      <c r="C173" s="2" t="s">
        <v>589</v>
      </c>
      <c r="D173" s="2" t="s">
        <v>48</v>
      </c>
      <c r="E173" s="2" t="s">
        <v>48</v>
      </c>
      <c r="F173" s="3">
        <v>9167124481</v>
      </c>
      <c r="G173" s="3">
        <v>5594477000</v>
      </c>
      <c r="H173" s="1" t="s">
        <v>34</v>
      </c>
      <c r="I173" s="1">
        <v>608302</v>
      </c>
      <c r="J173" s="1" t="s">
        <v>48</v>
      </c>
      <c r="K173" s="1" t="s">
        <v>35</v>
      </c>
      <c r="L173" s="1" t="s">
        <v>44</v>
      </c>
      <c r="M173" s="1" t="s">
        <v>2</v>
      </c>
      <c r="N173" s="1" t="s">
        <v>3</v>
      </c>
      <c r="O173" s="1" t="s">
        <v>0</v>
      </c>
      <c r="P173" s="1" t="s">
        <v>1</v>
      </c>
      <c r="Q173" s="1" t="s">
        <v>34</v>
      </c>
      <c r="R173" s="1" t="s">
        <v>34</v>
      </c>
      <c r="S173" s="1" t="s">
        <v>34</v>
      </c>
      <c r="T173" s="1" t="s">
        <v>36</v>
      </c>
      <c r="U173" s="1" t="s">
        <v>1213</v>
      </c>
      <c r="V173" s="1" t="s">
        <v>34</v>
      </c>
      <c r="W173" s="1" t="s">
        <v>1221</v>
      </c>
      <c r="X173" s="1" t="s">
        <v>1090</v>
      </c>
    </row>
    <row r="174" spans="1:24" ht="30" x14ac:dyDescent="0.25">
      <c r="A174" s="1" t="s">
        <v>312</v>
      </c>
      <c r="B174" s="2" t="s">
        <v>313</v>
      </c>
      <c r="C174" s="2" t="s">
        <v>314</v>
      </c>
      <c r="D174" s="2" t="s">
        <v>48</v>
      </c>
      <c r="E174" s="2" t="s">
        <v>48</v>
      </c>
      <c r="F174" s="3">
        <v>5308999999</v>
      </c>
      <c r="G174" s="4" t="s">
        <v>48</v>
      </c>
      <c r="H174" s="1" t="s">
        <v>34</v>
      </c>
      <c r="I174" s="1">
        <v>510286</v>
      </c>
      <c r="J174" s="1" t="s">
        <v>48</v>
      </c>
      <c r="K174" s="1" t="s">
        <v>35</v>
      </c>
      <c r="O174" s="1" t="s">
        <v>0</v>
      </c>
      <c r="Q174" s="1" t="s">
        <v>34</v>
      </c>
      <c r="R174" s="1" t="s">
        <v>34</v>
      </c>
      <c r="S174" s="1" t="s">
        <v>34</v>
      </c>
      <c r="T174" s="1" t="s">
        <v>34</v>
      </c>
      <c r="U174" s="1" t="s">
        <v>1175</v>
      </c>
      <c r="V174" s="1" t="s">
        <v>1210</v>
      </c>
      <c r="W174" s="1" t="s">
        <v>1213</v>
      </c>
      <c r="X174" s="1" t="s">
        <v>1213</v>
      </c>
    </row>
    <row r="175" spans="1:24" ht="45" x14ac:dyDescent="0.25">
      <c r="A175" s="1" t="s">
        <v>465</v>
      </c>
      <c r="B175" s="2" t="s">
        <v>466</v>
      </c>
      <c r="C175" s="2" t="s">
        <v>467</v>
      </c>
      <c r="D175" s="2" t="s">
        <v>48</v>
      </c>
      <c r="E175" s="2" t="s">
        <v>48</v>
      </c>
      <c r="F175" s="3">
        <v>4156639914</v>
      </c>
      <c r="G175" s="4" t="s">
        <v>48</v>
      </c>
      <c r="H175" s="1" t="s">
        <v>34</v>
      </c>
      <c r="I175" s="1">
        <v>1042358</v>
      </c>
      <c r="J175" s="1" t="s">
        <v>48</v>
      </c>
      <c r="K175" s="1" t="s">
        <v>35</v>
      </c>
      <c r="M175" s="1" t="s">
        <v>2</v>
      </c>
      <c r="N175" s="1" t="s">
        <v>3</v>
      </c>
      <c r="O175" s="1" t="s">
        <v>0</v>
      </c>
      <c r="Q175" s="1" t="s">
        <v>34</v>
      </c>
      <c r="R175" s="1" t="s">
        <v>34</v>
      </c>
      <c r="S175" s="1" t="s">
        <v>34</v>
      </c>
      <c r="T175" s="1" t="s">
        <v>36</v>
      </c>
      <c r="U175" s="1" t="s">
        <v>1213</v>
      </c>
      <c r="V175" s="1" t="s">
        <v>1210</v>
      </c>
      <c r="W175" s="1" t="s">
        <v>1213</v>
      </c>
      <c r="X175" s="1" t="s">
        <v>1091</v>
      </c>
    </row>
    <row r="176" spans="1:24" ht="30" x14ac:dyDescent="0.25">
      <c r="A176" s="1" t="s">
        <v>394</v>
      </c>
      <c r="B176" s="2" t="s">
        <v>395</v>
      </c>
      <c r="C176" s="2" t="s">
        <v>396</v>
      </c>
      <c r="D176" s="2" t="s">
        <v>48</v>
      </c>
      <c r="E176" s="2" t="s">
        <v>48</v>
      </c>
      <c r="F176" s="3">
        <v>7602302220</v>
      </c>
      <c r="G176" s="4" t="s">
        <v>48</v>
      </c>
      <c r="H176" s="1" t="s">
        <v>34</v>
      </c>
      <c r="I176" s="1">
        <v>959155</v>
      </c>
      <c r="J176" s="1" t="s">
        <v>48</v>
      </c>
      <c r="K176" s="1" t="s">
        <v>35</v>
      </c>
      <c r="L176" s="1" t="s">
        <v>961</v>
      </c>
      <c r="M176" s="1" t="s">
        <v>2</v>
      </c>
      <c r="N176" s="1" t="s">
        <v>3</v>
      </c>
      <c r="O176" s="1" t="s">
        <v>0</v>
      </c>
      <c r="P176" s="1" t="s">
        <v>1</v>
      </c>
      <c r="Q176" s="1" t="s">
        <v>34</v>
      </c>
      <c r="R176" s="1" t="s">
        <v>36</v>
      </c>
      <c r="S176" s="1" t="s">
        <v>36</v>
      </c>
      <c r="T176" s="1" t="s">
        <v>36</v>
      </c>
      <c r="U176" s="1" t="s">
        <v>1213</v>
      </c>
      <c r="V176" s="1" t="s">
        <v>1210</v>
      </c>
      <c r="W176" s="1" t="s">
        <v>1213</v>
      </c>
      <c r="X176" s="1" t="s">
        <v>1092</v>
      </c>
    </row>
    <row r="177" spans="1:24" ht="30" x14ac:dyDescent="0.25">
      <c r="A177" s="1" t="s">
        <v>890</v>
      </c>
      <c r="B177" s="2" t="s">
        <v>690</v>
      </c>
      <c r="C177" s="2" t="s">
        <v>691</v>
      </c>
      <c r="D177" s="2" t="s">
        <v>48</v>
      </c>
      <c r="E177" s="2" t="s">
        <v>48</v>
      </c>
      <c r="F177" s="3">
        <v>6192971149</v>
      </c>
      <c r="G177" s="4" t="s">
        <v>48</v>
      </c>
      <c r="H177" s="1" t="s">
        <v>34</v>
      </c>
      <c r="I177" s="1">
        <v>970079</v>
      </c>
      <c r="J177" s="1" t="s">
        <v>48</v>
      </c>
      <c r="K177" s="1" t="s">
        <v>35</v>
      </c>
      <c r="M177" s="1" t="s">
        <v>2</v>
      </c>
      <c r="O177" s="1" t="s">
        <v>0</v>
      </c>
      <c r="Q177" s="1" t="s">
        <v>36</v>
      </c>
      <c r="R177" s="1" t="s">
        <v>34</v>
      </c>
      <c r="S177" s="1" t="s">
        <v>34</v>
      </c>
      <c r="T177" s="1" t="s">
        <v>34</v>
      </c>
      <c r="U177" s="1" t="s">
        <v>692</v>
      </c>
      <c r="V177" s="1" t="s">
        <v>34</v>
      </c>
      <c r="W177" s="1" t="s">
        <v>693</v>
      </c>
      <c r="X177" s="1" t="s">
        <v>1213</v>
      </c>
    </row>
    <row r="178" spans="1:24" ht="45" x14ac:dyDescent="0.25">
      <c r="A178" s="1" t="s">
        <v>171</v>
      </c>
      <c r="B178" s="2" t="s">
        <v>172</v>
      </c>
      <c r="C178" s="2" t="s">
        <v>173</v>
      </c>
      <c r="D178" s="2" t="s">
        <v>48</v>
      </c>
      <c r="E178" s="2" t="s">
        <v>48</v>
      </c>
      <c r="F178" s="3">
        <v>4153427199</v>
      </c>
      <c r="G178" s="4" t="s">
        <v>48</v>
      </c>
      <c r="H178" s="1" t="s">
        <v>34</v>
      </c>
      <c r="I178" s="1">
        <v>595917</v>
      </c>
      <c r="J178" s="1" t="s">
        <v>48</v>
      </c>
      <c r="L178" s="1" t="s">
        <v>44</v>
      </c>
      <c r="M178" s="1" t="s">
        <v>2</v>
      </c>
      <c r="N178" s="1" t="s">
        <v>3</v>
      </c>
      <c r="Q178" s="1" t="s">
        <v>34</v>
      </c>
      <c r="R178" s="1" t="s">
        <v>34</v>
      </c>
      <c r="S178" s="1" t="s">
        <v>34</v>
      </c>
      <c r="T178" s="1" t="s">
        <v>36</v>
      </c>
      <c r="U178" s="1" t="s">
        <v>1213</v>
      </c>
      <c r="V178" s="1" t="s">
        <v>34</v>
      </c>
      <c r="W178" s="1" t="s">
        <v>1176</v>
      </c>
      <c r="X178" s="1" t="s">
        <v>1093</v>
      </c>
    </row>
    <row r="179" spans="1:24" ht="330" x14ac:dyDescent="0.25">
      <c r="A179" s="1" t="s">
        <v>405</v>
      </c>
      <c r="B179" s="2" t="s">
        <v>406</v>
      </c>
      <c r="C179" s="2" t="s">
        <v>407</v>
      </c>
      <c r="D179" s="2" t="s">
        <v>48</v>
      </c>
      <c r="E179" s="2" t="s">
        <v>48</v>
      </c>
      <c r="F179" s="3">
        <v>6198800445</v>
      </c>
      <c r="G179" s="4" t="s">
        <v>48</v>
      </c>
      <c r="H179" s="1" t="s">
        <v>34</v>
      </c>
      <c r="I179" s="1">
        <v>1017484</v>
      </c>
      <c r="J179" s="1" t="s">
        <v>48</v>
      </c>
      <c r="K179" s="1" t="s">
        <v>35</v>
      </c>
      <c r="L179" s="1" t="s">
        <v>961</v>
      </c>
      <c r="M179" s="1" t="s">
        <v>2</v>
      </c>
      <c r="N179" s="1" t="s">
        <v>3</v>
      </c>
      <c r="O179" s="1" t="s">
        <v>0</v>
      </c>
      <c r="Q179" s="1" t="s">
        <v>34</v>
      </c>
      <c r="R179" s="1" t="s">
        <v>34</v>
      </c>
      <c r="S179" s="1" t="s">
        <v>36</v>
      </c>
      <c r="T179" s="1" t="s">
        <v>36</v>
      </c>
      <c r="U179" s="1" t="s">
        <v>1213</v>
      </c>
      <c r="V179" s="1" t="s">
        <v>34</v>
      </c>
      <c r="W179" s="1" t="s">
        <v>1178</v>
      </c>
      <c r="X179" s="1" t="s">
        <v>1177</v>
      </c>
    </row>
    <row r="180" spans="1:24" ht="345" x14ac:dyDescent="0.25">
      <c r="A180" s="1" t="s">
        <v>237</v>
      </c>
      <c r="B180" s="2" t="s">
        <v>238</v>
      </c>
      <c r="C180" s="2" t="s">
        <v>239</v>
      </c>
      <c r="D180" s="2" t="s">
        <v>48</v>
      </c>
      <c r="E180" s="2" t="s">
        <v>48</v>
      </c>
      <c r="F180" s="3">
        <v>8338765272</v>
      </c>
      <c r="G180" s="4" t="s">
        <v>48</v>
      </c>
      <c r="H180" s="1" t="s">
        <v>34</v>
      </c>
      <c r="I180" s="1">
        <v>971422</v>
      </c>
      <c r="J180" s="1" t="s">
        <v>48</v>
      </c>
      <c r="K180" s="1" t="s">
        <v>35</v>
      </c>
      <c r="L180" s="1" t="s">
        <v>961</v>
      </c>
      <c r="M180" s="1" t="s">
        <v>2</v>
      </c>
      <c r="N180" s="1" t="s">
        <v>3</v>
      </c>
      <c r="O180" s="1" t="s">
        <v>0</v>
      </c>
      <c r="Q180" s="1" t="s">
        <v>36</v>
      </c>
      <c r="R180" s="1" t="s">
        <v>34</v>
      </c>
      <c r="S180" s="1" t="s">
        <v>34</v>
      </c>
      <c r="T180" s="1" t="s">
        <v>36</v>
      </c>
      <c r="U180" s="1" t="s">
        <v>1213</v>
      </c>
      <c r="V180" s="1" t="s">
        <v>1210</v>
      </c>
      <c r="W180" s="1" t="s">
        <v>1213</v>
      </c>
      <c r="X180" s="1" t="s">
        <v>1179</v>
      </c>
    </row>
    <row r="181" spans="1:24" ht="90" x14ac:dyDescent="0.25">
      <c r="A181" s="1" t="s">
        <v>290</v>
      </c>
      <c r="B181" s="2" t="s">
        <v>290</v>
      </c>
      <c r="C181" s="2" t="s">
        <v>291</v>
      </c>
      <c r="D181" s="2" t="s">
        <v>48</v>
      </c>
      <c r="E181" s="2" t="s">
        <v>48</v>
      </c>
      <c r="F181" s="3">
        <v>7078250759</v>
      </c>
      <c r="G181" s="4" t="s">
        <v>48</v>
      </c>
      <c r="H181" s="1" t="s">
        <v>34</v>
      </c>
      <c r="I181" s="1">
        <v>1036962</v>
      </c>
      <c r="J181" s="1" t="s">
        <v>48</v>
      </c>
      <c r="K181" s="1" t="s">
        <v>35</v>
      </c>
      <c r="L181" s="1" t="s">
        <v>961</v>
      </c>
      <c r="M181" s="1" t="s">
        <v>2</v>
      </c>
      <c r="N181" s="1" t="s">
        <v>3</v>
      </c>
      <c r="O181" s="1" t="s">
        <v>0</v>
      </c>
      <c r="P181" s="1" t="s">
        <v>1</v>
      </c>
      <c r="Q181" s="1" t="s">
        <v>34</v>
      </c>
      <c r="R181" s="1" t="s">
        <v>34</v>
      </c>
      <c r="S181" s="1" t="s">
        <v>34</v>
      </c>
      <c r="T181" s="1" t="s">
        <v>36</v>
      </c>
      <c r="U181" s="1" t="s">
        <v>1213</v>
      </c>
      <c r="V181" s="1" t="s">
        <v>34</v>
      </c>
      <c r="W181" s="1" t="s">
        <v>292</v>
      </c>
      <c r="X181" s="1" t="s">
        <v>1045</v>
      </c>
    </row>
    <row r="182" spans="1:24" ht="30" x14ac:dyDescent="0.25">
      <c r="A182" s="1" t="s">
        <v>630</v>
      </c>
      <c r="B182" s="2" t="s">
        <v>628</v>
      </c>
      <c r="C182" s="2" t="s">
        <v>629</v>
      </c>
      <c r="D182" s="2" t="s">
        <v>48</v>
      </c>
      <c r="E182" s="2" t="s">
        <v>48</v>
      </c>
      <c r="F182" s="3">
        <v>8882103366</v>
      </c>
      <c r="G182" s="4" t="s">
        <v>48</v>
      </c>
      <c r="H182" s="1" t="s">
        <v>34</v>
      </c>
      <c r="I182" s="1">
        <v>978152</v>
      </c>
      <c r="J182" s="1" t="s">
        <v>48</v>
      </c>
      <c r="K182" s="1" t="s">
        <v>35</v>
      </c>
      <c r="M182" s="1" t="s">
        <v>2</v>
      </c>
      <c r="Q182" s="1" t="s">
        <v>34</v>
      </c>
      <c r="R182" s="1" t="s">
        <v>34</v>
      </c>
      <c r="S182" s="1" t="s">
        <v>34</v>
      </c>
      <c r="T182" s="1" t="s">
        <v>36</v>
      </c>
      <c r="U182" s="1" t="s">
        <v>1213</v>
      </c>
      <c r="V182" s="1" t="s">
        <v>1210</v>
      </c>
      <c r="W182" s="1" t="s">
        <v>1213</v>
      </c>
      <c r="X182" s="1" t="s">
        <v>631</v>
      </c>
    </row>
    <row r="183" spans="1:24" ht="90" x14ac:dyDescent="0.25">
      <c r="A183" s="1" t="s">
        <v>139</v>
      </c>
      <c r="B183" s="2" t="s">
        <v>140</v>
      </c>
      <c r="C183" s="2" t="s">
        <v>140</v>
      </c>
      <c r="D183" s="2" t="s">
        <v>48</v>
      </c>
      <c r="E183" s="2" t="s">
        <v>48</v>
      </c>
      <c r="F183" s="3">
        <v>9166167800</v>
      </c>
      <c r="G183" s="4" t="s">
        <v>48</v>
      </c>
      <c r="H183" s="1" t="s">
        <v>34</v>
      </c>
      <c r="I183" s="1">
        <v>852492</v>
      </c>
      <c r="J183" s="1" t="s">
        <v>48</v>
      </c>
      <c r="K183" s="1" t="s">
        <v>35</v>
      </c>
      <c r="L183" s="1" t="s">
        <v>961</v>
      </c>
      <c r="O183" s="1" t="s">
        <v>0</v>
      </c>
      <c r="Q183" s="1" t="s">
        <v>36</v>
      </c>
      <c r="R183" s="1" t="s">
        <v>34</v>
      </c>
      <c r="S183" s="1" t="s">
        <v>34</v>
      </c>
      <c r="T183" s="1" t="s">
        <v>34</v>
      </c>
      <c r="U183" s="1" t="s">
        <v>979</v>
      </c>
      <c r="V183" s="1" t="s">
        <v>34</v>
      </c>
      <c r="W183" s="1" t="s">
        <v>141</v>
      </c>
      <c r="X183" s="1" t="s">
        <v>1213</v>
      </c>
    </row>
    <row r="184" spans="1:24" ht="90" x14ac:dyDescent="0.25">
      <c r="A184" s="1" t="s">
        <v>886</v>
      </c>
      <c r="B184" s="2" t="s">
        <v>674</v>
      </c>
      <c r="C184" s="2" t="s">
        <v>675</v>
      </c>
      <c r="D184" s="2" t="s">
        <v>48</v>
      </c>
      <c r="E184" s="2" t="s">
        <v>48</v>
      </c>
      <c r="F184" s="3">
        <v>8005513040</v>
      </c>
      <c r="G184" s="4" t="s">
        <v>48</v>
      </c>
      <c r="H184" s="1" t="s">
        <v>34</v>
      </c>
      <c r="I184" s="1">
        <v>453302</v>
      </c>
      <c r="J184" s="1" t="s">
        <v>48</v>
      </c>
      <c r="L184" s="1" t="s">
        <v>44</v>
      </c>
      <c r="N184" s="1" t="s">
        <v>3</v>
      </c>
      <c r="Q184" s="1" t="s">
        <v>34</v>
      </c>
      <c r="R184" s="1" t="s">
        <v>34</v>
      </c>
      <c r="S184" s="1" t="s">
        <v>34</v>
      </c>
      <c r="T184" s="1" t="s">
        <v>34</v>
      </c>
      <c r="U184" s="1" t="s">
        <v>676</v>
      </c>
      <c r="V184" s="1" t="s">
        <v>34</v>
      </c>
      <c r="W184" s="1" t="s">
        <v>677</v>
      </c>
      <c r="X184" s="1" t="s">
        <v>1046</v>
      </c>
    </row>
    <row r="185" spans="1:24" ht="30" x14ac:dyDescent="0.25">
      <c r="A185" s="1" t="s">
        <v>934</v>
      </c>
      <c r="B185" s="2" t="s">
        <v>794</v>
      </c>
      <c r="C185" s="2" t="s">
        <v>795</v>
      </c>
      <c r="D185" s="2" t="s">
        <v>48</v>
      </c>
      <c r="E185" s="2" t="s">
        <v>48</v>
      </c>
      <c r="F185" s="3">
        <v>2093530631</v>
      </c>
      <c r="G185" s="4" t="s">
        <v>48</v>
      </c>
      <c r="H185" s="1" t="s">
        <v>34</v>
      </c>
      <c r="I185" s="1">
        <v>997639</v>
      </c>
      <c r="J185" s="1" t="s">
        <v>48</v>
      </c>
      <c r="K185" s="1" t="s">
        <v>35</v>
      </c>
      <c r="L185" s="1" t="s">
        <v>961</v>
      </c>
      <c r="M185" s="1" t="s">
        <v>2</v>
      </c>
      <c r="O185" s="1" t="s">
        <v>0</v>
      </c>
      <c r="Q185" s="1" t="s">
        <v>36</v>
      </c>
      <c r="R185" s="1" t="s">
        <v>36</v>
      </c>
      <c r="S185" s="1" t="s">
        <v>36</v>
      </c>
      <c r="T185" s="1" t="s">
        <v>34</v>
      </c>
      <c r="U185" s="1" t="s">
        <v>796</v>
      </c>
      <c r="V185" s="1" t="s">
        <v>1210</v>
      </c>
      <c r="W185" s="1" t="s">
        <v>1213</v>
      </c>
      <c r="X185" s="1" t="s">
        <v>1213</v>
      </c>
    </row>
    <row r="186" spans="1:24" ht="30" x14ac:dyDescent="0.25">
      <c r="A186" s="1" t="s">
        <v>562</v>
      </c>
      <c r="B186" s="2" t="s">
        <v>563</v>
      </c>
      <c r="C186" s="2" t="s">
        <v>564</v>
      </c>
      <c r="D186" s="2" t="s">
        <v>48</v>
      </c>
      <c r="E186" s="2" t="s">
        <v>48</v>
      </c>
      <c r="F186" s="3">
        <v>4087793333</v>
      </c>
      <c r="G186" s="4" t="s">
        <v>48</v>
      </c>
      <c r="H186" s="1" t="s">
        <v>34</v>
      </c>
      <c r="I186" s="1">
        <v>765156</v>
      </c>
      <c r="J186" s="1" t="s">
        <v>48</v>
      </c>
      <c r="L186" s="1" t="s">
        <v>44</v>
      </c>
      <c r="O186" s="1" t="s">
        <v>0</v>
      </c>
      <c r="Q186" s="1" t="s">
        <v>1210</v>
      </c>
      <c r="R186" s="1" t="s">
        <v>1210</v>
      </c>
      <c r="S186" s="1" t="s">
        <v>1210</v>
      </c>
      <c r="T186" s="1" t="s">
        <v>36</v>
      </c>
      <c r="U186" s="1" t="s">
        <v>1213</v>
      </c>
      <c r="V186" s="1" t="s">
        <v>1210</v>
      </c>
      <c r="W186" s="1" t="s">
        <v>1213</v>
      </c>
      <c r="X186" s="1" t="s">
        <v>1213</v>
      </c>
    </row>
    <row r="187" spans="1:24" ht="30" x14ac:dyDescent="0.25">
      <c r="A187" s="1" t="s">
        <v>933</v>
      </c>
      <c r="B187" s="2" t="s">
        <v>789</v>
      </c>
      <c r="C187" s="2" t="s">
        <v>790</v>
      </c>
      <c r="D187" s="2" t="s">
        <v>48</v>
      </c>
      <c r="E187" s="2" t="s">
        <v>48</v>
      </c>
      <c r="F187" s="3">
        <v>3105320995</v>
      </c>
      <c r="G187" s="4" t="s">
        <v>48</v>
      </c>
      <c r="H187" s="1" t="s">
        <v>34</v>
      </c>
      <c r="I187" s="1">
        <v>990055</v>
      </c>
      <c r="J187" s="1" t="s">
        <v>48</v>
      </c>
      <c r="L187" s="1" t="s">
        <v>44</v>
      </c>
      <c r="N187" s="1" t="s">
        <v>3</v>
      </c>
      <c r="Q187" s="1" t="s">
        <v>34</v>
      </c>
      <c r="R187" s="1" t="s">
        <v>34</v>
      </c>
      <c r="S187" s="1" t="s">
        <v>34</v>
      </c>
      <c r="T187" s="1" t="s">
        <v>34</v>
      </c>
      <c r="U187" s="1" t="s">
        <v>791</v>
      </c>
      <c r="V187" s="1" t="s">
        <v>1210</v>
      </c>
      <c r="W187" s="1" t="s">
        <v>1213</v>
      </c>
      <c r="X187" s="1" t="s">
        <v>1213</v>
      </c>
    </row>
    <row r="188" spans="1:24" ht="30" x14ac:dyDescent="0.25">
      <c r="A188" s="1" t="s">
        <v>874</v>
      </c>
      <c r="B188" s="2" t="s">
        <v>641</v>
      </c>
      <c r="C188" s="2" t="s">
        <v>642</v>
      </c>
      <c r="D188" s="2" t="s">
        <v>48</v>
      </c>
      <c r="E188" s="2" t="s">
        <v>48</v>
      </c>
      <c r="F188" s="3">
        <v>7604804400</v>
      </c>
      <c r="G188" s="4" t="s">
        <v>48</v>
      </c>
      <c r="H188" s="1" t="s">
        <v>34</v>
      </c>
      <c r="I188" s="1">
        <v>328332</v>
      </c>
      <c r="J188" s="1" t="s">
        <v>48</v>
      </c>
      <c r="K188" s="1" t="s">
        <v>35</v>
      </c>
      <c r="L188" s="1" t="s">
        <v>961</v>
      </c>
      <c r="M188" s="1" t="s">
        <v>2</v>
      </c>
      <c r="N188" s="1" t="s">
        <v>3</v>
      </c>
      <c r="O188" s="1" t="s">
        <v>0</v>
      </c>
      <c r="P188" s="1" t="s">
        <v>1</v>
      </c>
      <c r="Q188" s="1" t="s">
        <v>36</v>
      </c>
      <c r="R188" s="1" t="s">
        <v>36</v>
      </c>
      <c r="S188" s="1" t="s">
        <v>34</v>
      </c>
      <c r="T188" s="1" t="s">
        <v>36</v>
      </c>
      <c r="U188" s="1" t="s">
        <v>1213</v>
      </c>
      <c r="V188" s="1" t="s">
        <v>1210</v>
      </c>
      <c r="W188" s="1" t="s">
        <v>1213</v>
      </c>
      <c r="X188" s="1" t="s">
        <v>1213</v>
      </c>
    </row>
    <row r="189" spans="1:24" ht="30" x14ac:dyDescent="0.25">
      <c r="A189" s="1" t="s">
        <v>893</v>
      </c>
      <c r="B189" s="2" t="s">
        <v>699</v>
      </c>
      <c r="C189" s="2" t="s">
        <v>700</v>
      </c>
      <c r="D189" s="2" t="s">
        <v>48</v>
      </c>
      <c r="E189" s="2" t="s">
        <v>48</v>
      </c>
      <c r="F189" s="3">
        <v>3103869640</v>
      </c>
      <c r="G189" s="4" t="s">
        <v>48</v>
      </c>
      <c r="H189" s="1" t="s">
        <v>34</v>
      </c>
      <c r="I189" s="1">
        <v>981611</v>
      </c>
      <c r="J189" s="1" t="s">
        <v>48</v>
      </c>
      <c r="L189" s="1" t="s">
        <v>44</v>
      </c>
      <c r="O189" s="1" t="s">
        <v>0</v>
      </c>
      <c r="Q189" s="1" t="s">
        <v>34</v>
      </c>
      <c r="R189" s="1" t="s">
        <v>34</v>
      </c>
      <c r="S189" s="1" t="s">
        <v>34</v>
      </c>
      <c r="T189" s="1" t="s">
        <v>34</v>
      </c>
      <c r="U189" s="1" t="s">
        <v>701</v>
      </c>
      <c r="V189" s="1" t="s">
        <v>34</v>
      </c>
      <c r="W189" s="1" t="s">
        <v>702</v>
      </c>
      <c r="X189" s="1" t="s">
        <v>1094</v>
      </c>
    </row>
    <row r="190" spans="1:24" ht="30" x14ac:dyDescent="0.25">
      <c r="A190" s="1" t="s">
        <v>491</v>
      </c>
      <c r="B190" s="2" t="s">
        <v>492</v>
      </c>
      <c r="C190" s="2" t="s">
        <v>493</v>
      </c>
      <c r="D190" s="2" t="s">
        <v>48</v>
      </c>
      <c r="E190" s="2" t="s">
        <v>48</v>
      </c>
      <c r="F190" s="3">
        <v>9253270980</v>
      </c>
      <c r="G190" s="4" t="s">
        <v>48</v>
      </c>
      <c r="H190" s="1" t="s">
        <v>34</v>
      </c>
      <c r="I190" s="1">
        <v>800947</v>
      </c>
      <c r="J190" s="1" t="s">
        <v>48</v>
      </c>
      <c r="K190" s="1" t="s">
        <v>35</v>
      </c>
      <c r="M190" s="1" t="s">
        <v>2</v>
      </c>
      <c r="O190" s="1" t="s">
        <v>0</v>
      </c>
      <c r="Q190" s="1" t="s">
        <v>34</v>
      </c>
      <c r="R190" s="1" t="s">
        <v>36</v>
      </c>
      <c r="S190" s="1" t="s">
        <v>34</v>
      </c>
      <c r="T190" s="1" t="s">
        <v>36</v>
      </c>
      <c r="U190" s="1" t="s">
        <v>1213</v>
      </c>
      <c r="V190" s="1" t="s">
        <v>1210</v>
      </c>
      <c r="W190" s="1" t="s">
        <v>1213</v>
      </c>
      <c r="X190" s="1" t="s">
        <v>1213</v>
      </c>
    </row>
    <row r="191" spans="1:24" ht="30" x14ac:dyDescent="0.25">
      <c r="A191" s="1" t="s">
        <v>64</v>
      </c>
      <c r="B191" s="2" t="s">
        <v>65</v>
      </c>
      <c r="C191" s="2" t="s">
        <v>66</v>
      </c>
      <c r="D191" s="2" t="s">
        <v>48</v>
      </c>
      <c r="E191" s="2" t="s">
        <v>48</v>
      </c>
      <c r="F191" s="3">
        <v>4158262503</v>
      </c>
      <c r="G191" s="4" t="s">
        <v>48</v>
      </c>
      <c r="H191" s="1" t="s">
        <v>34</v>
      </c>
      <c r="I191" s="1">
        <v>943484</v>
      </c>
      <c r="J191" s="1" t="s">
        <v>48</v>
      </c>
      <c r="K191" s="1" t="s">
        <v>35</v>
      </c>
      <c r="M191" s="1" t="s">
        <v>2</v>
      </c>
      <c r="N191" s="1" t="s">
        <v>3</v>
      </c>
      <c r="O191" s="1" t="s">
        <v>0</v>
      </c>
      <c r="Q191" s="1" t="s">
        <v>34</v>
      </c>
      <c r="R191" s="1" t="s">
        <v>34</v>
      </c>
      <c r="S191" s="1" t="s">
        <v>34</v>
      </c>
      <c r="T191" s="1" t="s">
        <v>36</v>
      </c>
      <c r="U191" s="1" t="s">
        <v>1213</v>
      </c>
      <c r="V191" s="1" t="s">
        <v>1210</v>
      </c>
      <c r="W191" s="1" t="s">
        <v>1213</v>
      </c>
      <c r="X191" s="1" t="s">
        <v>1213</v>
      </c>
    </row>
    <row r="192" spans="1:24" ht="30" x14ac:dyDescent="0.25">
      <c r="A192" s="1" t="s">
        <v>91</v>
      </c>
      <c r="B192" s="2" t="s">
        <v>92</v>
      </c>
      <c r="C192" s="2" t="s">
        <v>93</v>
      </c>
      <c r="D192" s="2" t="s">
        <v>48</v>
      </c>
      <c r="E192" s="2" t="s">
        <v>48</v>
      </c>
      <c r="F192" s="3">
        <v>6502607655</v>
      </c>
      <c r="G192" s="4" t="s">
        <v>48</v>
      </c>
      <c r="H192" s="1" t="s">
        <v>34</v>
      </c>
      <c r="I192" s="1">
        <v>984488</v>
      </c>
      <c r="J192" s="1" t="s">
        <v>48</v>
      </c>
      <c r="K192" s="1" t="s">
        <v>35</v>
      </c>
      <c r="L192" s="1" t="s">
        <v>961</v>
      </c>
      <c r="M192" s="1" t="s">
        <v>2</v>
      </c>
      <c r="O192" s="1" t="s">
        <v>0</v>
      </c>
      <c r="Q192" s="1" t="s">
        <v>34</v>
      </c>
      <c r="R192" s="1" t="s">
        <v>34</v>
      </c>
      <c r="S192" s="1" t="s">
        <v>34</v>
      </c>
      <c r="T192" s="1" t="s">
        <v>34</v>
      </c>
      <c r="U192" s="1" t="s">
        <v>94</v>
      </c>
      <c r="V192" s="1" t="s">
        <v>34</v>
      </c>
      <c r="W192" s="1" t="s">
        <v>95</v>
      </c>
      <c r="X192" s="1" t="s">
        <v>1180</v>
      </c>
    </row>
    <row r="193" spans="1:24" ht="30" x14ac:dyDescent="0.25">
      <c r="A193" s="1" t="s">
        <v>922</v>
      </c>
      <c r="B193" s="2" t="s">
        <v>1213</v>
      </c>
      <c r="C193" s="2" t="s">
        <v>767</v>
      </c>
      <c r="D193" s="2" t="s">
        <v>48</v>
      </c>
      <c r="E193" s="2" t="s">
        <v>48</v>
      </c>
      <c r="F193" s="3">
        <v>6506819445</v>
      </c>
      <c r="G193" s="4" t="s">
        <v>48</v>
      </c>
      <c r="H193" s="1" t="s">
        <v>34</v>
      </c>
      <c r="I193" s="1">
        <v>858377</v>
      </c>
      <c r="J193" s="1" t="s">
        <v>48</v>
      </c>
      <c r="K193" s="1" t="s">
        <v>35</v>
      </c>
      <c r="L193" s="1" t="s">
        <v>961</v>
      </c>
      <c r="M193" s="1" t="s">
        <v>2</v>
      </c>
      <c r="N193" s="1" t="s">
        <v>3</v>
      </c>
      <c r="O193" s="1" t="s">
        <v>0</v>
      </c>
      <c r="P193" s="1" t="s">
        <v>1</v>
      </c>
      <c r="Q193" s="1" t="s">
        <v>36</v>
      </c>
      <c r="R193" s="1" t="s">
        <v>36</v>
      </c>
      <c r="S193" s="1" t="s">
        <v>36</v>
      </c>
      <c r="T193" s="1" t="s">
        <v>36</v>
      </c>
      <c r="U193" s="1" t="s">
        <v>1213</v>
      </c>
      <c r="V193" s="1" t="s">
        <v>34</v>
      </c>
      <c r="W193" s="1" t="s">
        <v>966</v>
      </c>
      <c r="X193" s="1" t="s">
        <v>1095</v>
      </c>
    </row>
    <row r="194" spans="1:24" ht="105" x14ac:dyDescent="0.25">
      <c r="A194" s="1" t="s">
        <v>864</v>
      </c>
      <c r="B194" s="2" t="s">
        <v>618</v>
      </c>
      <c r="C194" s="2" t="s">
        <v>320</v>
      </c>
      <c r="D194" s="2" t="s">
        <v>48</v>
      </c>
      <c r="E194" s="2" t="s">
        <v>48</v>
      </c>
      <c r="F194" s="3">
        <v>4153827717</v>
      </c>
      <c r="G194" s="4" t="s">
        <v>48</v>
      </c>
      <c r="H194" s="1" t="s">
        <v>34</v>
      </c>
      <c r="I194" s="1">
        <v>497797</v>
      </c>
      <c r="J194" s="1" t="s">
        <v>48</v>
      </c>
      <c r="K194" s="1" t="s">
        <v>35</v>
      </c>
      <c r="L194" s="1" t="s">
        <v>961</v>
      </c>
      <c r="M194" s="1" t="s">
        <v>2</v>
      </c>
      <c r="N194" s="1" t="s">
        <v>3</v>
      </c>
      <c r="O194" s="1" t="s">
        <v>0</v>
      </c>
      <c r="Q194" s="1" t="s">
        <v>34</v>
      </c>
      <c r="R194" s="1" t="s">
        <v>36</v>
      </c>
      <c r="S194" s="1" t="s">
        <v>34</v>
      </c>
      <c r="T194" s="1" t="s">
        <v>36</v>
      </c>
      <c r="U194" s="1" t="s">
        <v>1213</v>
      </c>
      <c r="V194" s="1" t="s">
        <v>34</v>
      </c>
      <c r="W194" s="1" t="s">
        <v>1181</v>
      </c>
      <c r="X194" s="1" t="s">
        <v>619</v>
      </c>
    </row>
    <row r="195" spans="1:24" ht="30" x14ac:dyDescent="0.25">
      <c r="A195" s="1" t="s">
        <v>897</v>
      </c>
      <c r="B195" s="5" t="s">
        <v>898</v>
      </c>
      <c r="C195" s="2" t="s">
        <v>715</v>
      </c>
      <c r="D195" s="2" t="s">
        <v>48</v>
      </c>
      <c r="E195" s="2" t="s">
        <v>48</v>
      </c>
      <c r="F195" s="3">
        <v>3102130790</v>
      </c>
      <c r="G195" s="4" t="s">
        <v>48</v>
      </c>
      <c r="H195" s="1" t="s">
        <v>34</v>
      </c>
      <c r="I195" s="1">
        <v>994683</v>
      </c>
      <c r="J195" s="1" t="s">
        <v>48</v>
      </c>
      <c r="K195" s="1" t="s">
        <v>35</v>
      </c>
      <c r="L195" s="1" t="s">
        <v>961</v>
      </c>
      <c r="M195" s="1" t="s">
        <v>2</v>
      </c>
      <c r="N195" s="1" t="s">
        <v>3</v>
      </c>
      <c r="O195" s="1" t="s">
        <v>0</v>
      </c>
      <c r="P195" s="1" t="s">
        <v>1</v>
      </c>
      <c r="Q195" s="1" t="s">
        <v>34</v>
      </c>
      <c r="R195" s="1" t="s">
        <v>34</v>
      </c>
      <c r="S195" s="1" t="s">
        <v>34</v>
      </c>
      <c r="T195" s="1" t="s">
        <v>36</v>
      </c>
      <c r="U195" s="1" t="s">
        <v>1213</v>
      </c>
      <c r="V195" s="1" t="s">
        <v>1210</v>
      </c>
      <c r="W195" s="1" t="s">
        <v>1213</v>
      </c>
      <c r="X195" s="1" t="s">
        <v>716</v>
      </c>
    </row>
    <row r="196" spans="1:24" ht="30" x14ac:dyDescent="0.25">
      <c r="A196" s="1" t="s">
        <v>454</v>
      </c>
      <c r="B196" s="2" t="s">
        <v>455</v>
      </c>
      <c r="C196" s="2" t="s">
        <v>456</v>
      </c>
      <c r="D196" s="2" t="s">
        <v>48</v>
      </c>
      <c r="E196" s="2" t="s">
        <v>48</v>
      </c>
      <c r="F196" s="3">
        <v>2092983301</v>
      </c>
      <c r="G196" s="4" t="s">
        <v>48</v>
      </c>
      <c r="H196" s="1" t="s">
        <v>34</v>
      </c>
      <c r="I196" s="1">
        <v>1010308</v>
      </c>
      <c r="J196" s="1" t="s">
        <v>48</v>
      </c>
      <c r="K196" s="1" t="s">
        <v>35</v>
      </c>
      <c r="O196" s="1" t="s">
        <v>0</v>
      </c>
      <c r="Q196" s="1" t="s">
        <v>34</v>
      </c>
      <c r="R196" s="1" t="s">
        <v>36</v>
      </c>
      <c r="S196" s="1" t="s">
        <v>34</v>
      </c>
      <c r="T196" s="1" t="s">
        <v>34</v>
      </c>
      <c r="U196" s="1" t="s">
        <v>1213</v>
      </c>
      <c r="V196" s="1" t="s">
        <v>1210</v>
      </c>
      <c r="W196" s="1" t="s">
        <v>1213</v>
      </c>
      <c r="X196" s="1" t="s">
        <v>1213</v>
      </c>
    </row>
    <row r="197" spans="1:24" ht="30" x14ac:dyDescent="0.25">
      <c r="A197" s="1" t="s">
        <v>905</v>
      </c>
      <c r="B197" s="2" t="s">
        <v>729</v>
      </c>
      <c r="C197" s="2" t="s">
        <v>730</v>
      </c>
      <c r="D197" s="2" t="s">
        <v>48</v>
      </c>
      <c r="E197" s="2" t="s">
        <v>48</v>
      </c>
      <c r="F197" s="3">
        <v>9099801800</v>
      </c>
      <c r="G197" s="4" t="s">
        <v>48</v>
      </c>
      <c r="H197" s="1" t="s">
        <v>34</v>
      </c>
      <c r="I197" s="1">
        <v>929565</v>
      </c>
      <c r="J197" s="1" t="s">
        <v>48</v>
      </c>
      <c r="K197" s="1" t="s">
        <v>35</v>
      </c>
      <c r="L197" s="1" t="s">
        <v>961</v>
      </c>
      <c r="M197" s="1" t="s">
        <v>2</v>
      </c>
      <c r="N197" s="1" t="s">
        <v>3</v>
      </c>
      <c r="O197" s="1" t="s">
        <v>0</v>
      </c>
      <c r="Q197" s="1" t="s">
        <v>36</v>
      </c>
      <c r="R197" s="1" t="s">
        <v>36</v>
      </c>
      <c r="S197" s="1" t="s">
        <v>34</v>
      </c>
      <c r="T197" s="1" t="s">
        <v>34</v>
      </c>
      <c r="U197" s="1" t="s">
        <v>731</v>
      </c>
      <c r="V197" s="1" t="s">
        <v>1210</v>
      </c>
      <c r="W197" s="1" t="s">
        <v>1213</v>
      </c>
      <c r="X197" s="1" t="s">
        <v>1213</v>
      </c>
    </row>
    <row r="198" spans="1:24" ht="30" x14ac:dyDescent="0.25">
      <c r="A198" s="1" t="s">
        <v>953</v>
      </c>
      <c r="B198" s="2" t="s">
        <v>840</v>
      </c>
      <c r="C198" s="2" t="s">
        <v>841</v>
      </c>
      <c r="D198" s="2" t="s">
        <v>48</v>
      </c>
      <c r="E198" s="2" t="s">
        <v>48</v>
      </c>
      <c r="F198" s="3">
        <v>5594461175</v>
      </c>
      <c r="G198" s="4" t="s">
        <v>48</v>
      </c>
      <c r="H198" s="1" t="s">
        <v>34</v>
      </c>
      <c r="I198" s="1">
        <v>1021919</v>
      </c>
      <c r="J198" s="1" t="s">
        <v>48</v>
      </c>
      <c r="K198" s="1" t="s">
        <v>35</v>
      </c>
      <c r="M198" s="1" t="s">
        <v>2</v>
      </c>
      <c r="O198" s="1" t="s">
        <v>0</v>
      </c>
      <c r="Q198" s="1" t="s">
        <v>34</v>
      </c>
      <c r="R198" s="1" t="s">
        <v>36</v>
      </c>
      <c r="S198" s="1" t="s">
        <v>34</v>
      </c>
      <c r="T198" s="1" t="s">
        <v>36</v>
      </c>
      <c r="U198" s="1" t="s">
        <v>1213</v>
      </c>
      <c r="V198" s="1" t="s">
        <v>34</v>
      </c>
      <c r="W198" s="1" t="s">
        <v>842</v>
      </c>
      <c r="X198" s="1" t="s">
        <v>1213</v>
      </c>
    </row>
    <row r="199" spans="1:24" ht="255" x14ac:dyDescent="0.25">
      <c r="A199" s="1" t="s">
        <v>106</v>
      </c>
      <c r="B199" s="2" t="s">
        <v>107</v>
      </c>
      <c r="C199" s="2" t="s">
        <v>108</v>
      </c>
      <c r="D199" s="2" t="s">
        <v>48</v>
      </c>
      <c r="E199" s="2" t="s">
        <v>48</v>
      </c>
      <c r="F199" s="3">
        <v>8449994786</v>
      </c>
      <c r="G199" s="4" t="s">
        <v>48</v>
      </c>
      <c r="H199" s="1" t="s">
        <v>34</v>
      </c>
      <c r="I199" s="1">
        <v>972228</v>
      </c>
      <c r="J199" s="1" t="s">
        <v>48</v>
      </c>
      <c r="K199" s="1" t="s">
        <v>35</v>
      </c>
      <c r="M199" s="1" t="s">
        <v>2</v>
      </c>
      <c r="O199" s="1" t="s">
        <v>0</v>
      </c>
      <c r="Q199" s="1" t="s">
        <v>34</v>
      </c>
      <c r="R199" s="1" t="s">
        <v>34</v>
      </c>
      <c r="S199" s="1" t="s">
        <v>34</v>
      </c>
      <c r="T199" s="1" t="s">
        <v>34</v>
      </c>
      <c r="U199" s="1" t="s">
        <v>1202</v>
      </c>
      <c r="V199" s="1" t="s">
        <v>34</v>
      </c>
      <c r="W199" s="1" t="s">
        <v>1182</v>
      </c>
      <c r="X199" s="1" t="s">
        <v>1047</v>
      </c>
    </row>
    <row r="200" spans="1:24" ht="30" x14ac:dyDescent="0.25">
      <c r="A200" s="1" t="s">
        <v>501</v>
      </c>
      <c r="B200" s="2" t="s">
        <v>1229</v>
      </c>
      <c r="C200" s="2" t="s">
        <v>502</v>
      </c>
      <c r="D200" s="2" t="s">
        <v>48</v>
      </c>
      <c r="E200" s="2" t="s">
        <v>48</v>
      </c>
      <c r="F200" s="3">
        <v>9512447767</v>
      </c>
      <c r="G200" s="4" t="s">
        <v>48</v>
      </c>
      <c r="H200" s="1" t="s">
        <v>34</v>
      </c>
      <c r="I200" s="1">
        <v>988172</v>
      </c>
      <c r="J200" s="1" t="s">
        <v>48</v>
      </c>
      <c r="K200" s="1" t="s">
        <v>35</v>
      </c>
      <c r="L200" s="1" t="s">
        <v>44</v>
      </c>
      <c r="M200" s="1" t="s">
        <v>2</v>
      </c>
      <c r="N200" s="1" t="s">
        <v>3</v>
      </c>
      <c r="O200" s="1" t="s">
        <v>0</v>
      </c>
      <c r="P200" s="1" t="s">
        <v>1</v>
      </c>
      <c r="Q200" s="1" t="s">
        <v>34</v>
      </c>
      <c r="R200" s="1" t="s">
        <v>34</v>
      </c>
      <c r="S200" s="1" t="s">
        <v>34</v>
      </c>
      <c r="T200" s="1" t="s">
        <v>34</v>
      </c>
      <c r="U200" s="1" t="s">
        <v>503</v>
      </c>
      <c r="V200" s="1" t="s">
        <v>34</v>
      </c>
      <c r="W200" s="1" t="s">
        <v>504</v>
      </c>
      <c r="X200" s="1" t="s">
        <v>1213</v>
      </c>
    </row>
    <row r="201" spans="1:24" ht="30" x14ac:dyDescent="0.25">
      <c r="A201" s="1" t="s">
        <v>891</v>
      </c>
      <c r="B201" s="2" t="s">
        <v>694</v>
      </c>
      <c r="C201" s="2" t="s">
        <v>695</v>
      </c>
      <c r="D201" s="2" t="s">
        <v>48</v>
      </c>
      <c r="E201" s="2" t="s">
        <v>48</v>
      </c>
      <c r="F201" s="3">
        <v>7608054664</v>
      </c>
      <c r="G201" s="4" t="s">
        <v>48</v>
      </c>
      <c r="H201" s="1" t="s">
        <v>34</v>
      </c>
      <c r="I201" s="1">
        <v>990943</v>
      </c>
      <c r="J201" s="1" t="s">
        <v>48</v>
      </c>
      <c r="L201" s="1" t="s">
        <v>44</v>
      </c>
      <c r="N201" s="1" t="s">
        <v>3</v>
      </c>
      <c r="Q201" s="1" t="s">
        <v>36</v>
      </c>
      <c r="R201" s="1" t="s">
        <v>36</v>
      </c>
      <c r="S201" s="1" t="s">
        <v>34</v>
      </c>
      <c r="T201" s="1" t="s">
        <v>36</v>
      </c>
      <c r="U201" s="1" t="s">
        <v>1213</v>
      </c>
      <c r="V201" s="1" t="s">
        <v>1210</v>
      </c>
      <c r="W201" s="1" t="s">
        <v>1213</v>
      </c>
      <c r="X201" s="1" t="s">
        <v>1213</v>
      </c>
    </row>
    <row r="202" spans="1:24" ht="60" x14ac:dyDescent="0.25">
      <c r="A202" s="1" t="s">
        <v>96</v>
      </c>
      <c r="B202" s="2" t="s">
        <v>97</v>
      </c>
      <c r="C202" s="2" t="s">
        <v>590</v>
      </c>
      <c r="D202" s="2" t="s">
        <v>98</v>
      </c>
      <c r="E202" s="2" t="s">
        <v>48</v>
      </c>
      <c r="F202" s="3">
        <v>5303443237</v>
      </c>
      <c r="G202" s="4" t="s">
        <v>48</v>
      </c>
      <c r="H202" s="1" t="s">
        <v>34</v>
      </c>
      <c r="I202" s="1">
        <v>950064</v>
      </c>
      <c r="J202" s="1" t="s">
        <v>48</v>
      </c>
      <c r="K202" s="1" t="s">
        <v>35</v>
      </c>
      <c r="L202" s="1" t="s">
        <v>44</v>
      </c>
      <c r="M202" s="1" t="s">
        <v>2</v>
      </c>
      <c r="N202" s="1" t="s">
        <v>3</v>
      </c>
      <c r="O202" s="1" t="s">
        <v>0</v>
      </c>
      <c r="P202" s="1" t="s">
        <v>1</v>
      </c>
      <c r="Q202" s="1" t="s">
        <v>34</v>
      </c>
      <c r="R202" s="1" t="s">
        <v>34</v>
      </c>
      <c r="S202" s="1" t="s">
        <v>34</v>
      </c>
      <c r="T202" s="1" t="s">
        <v>36</v>
      </c>
      <c r="U202" s="1" t="s">
        <v>565</v>
      </c>
      <c r="V202" s="1" t="s">
        <v>34</v>
      </c>
      <c r="W202" s="1" t="s">
        <v>1183</v>
      </c>
      <c r="X202" s="1" t="s">
        <v>566</v>
      </c>
    </row>
    <row r="203" spans="1:24" ht="30" x14ac:dyDescent="0.25">
      <c r="A203" s="1" t="s">
        <v>861</v>
      </c>
      <c r="B203" s="2" t="s">
        <v>608</v>
      </c>
      <c r="C203" s="2" t="s">
        <v>609</v>
      </c>
      <c r="D203" s="2" t="s">
        <v>48</v>
      </c>
      <c r="E203" s="2" t="s">
        <v>48</v>
      </c>
      <c r="F203" s="3">
        <v>8055069084</v>
      </c>
      <c r="G203" s="4" t="s">
        <v>48</v>
      </c>
      <c r="H203" s="1" t="s">
        <v>34</v>
      </c>
      <c r="I203" s="1">
        <v>1040428</v>
      </c>
      <c r="J203" s="1" t="s">
        <v>48</v>
      </c>
      <c r="Q203" s="1" t="s">
        <v>34</v>
      </c>
      <c r="R203" s="1" t="s">
        <v>34</v>
      </c>
      <c r="S203" s="1" t="s">
        <v>34</v>
      </c>
      <c r="T203" s="1" t="s">
        <v>34</v>
      </c>
      <c r="U203" s="1" t="s">
        <v>610</v>
      </c>
      <c r="V203" s="1" t="s">
        <v>1210</v>
      </c>
      <c r="W203" s="1" t="s">
        <v>1213</v>
      </c>
      <c r="X203" s="1" t="s">
        <v>1048</v>
      </c>
    </row>
    <row r="204" spans="1:24" ht="60" x14ac:dyDescent="0.25">
      <c r="A204" s="1" t="s">
        <v>244</v>
      </c>
      <c r="B204" s="2" t="s">
        <v>245</v>
      </c>
      <c r="C204" s="2" t="s">
        <v>246</v>
      </c>
      <c r="D204" s="2" t="s">
        <v>48</v>
      </c>
      <c r="E204" s="2" t="s">
        <v>48</v>
      </c>
      <c r="F204" s="3">
        <v>7603004141</v>
      </c>
      <c r="G204" s="4" t="s">
        <v>48</v>
      </c>
      <c r="H204" s="1" t="s">
        <v>34</v>
      </c>
      <c r="I204" s="1">
        <v>988146</v>
      </c>
      <c r="J204" s="1" t="s">
        <v>48</v>
      </c>
      <c r="Q204" s="1" t="s">
        <v>34</v>
      </c>
      <c r="R204" s="1" t="s">
        <v>34</v>
      </c>
      <c r="S204" s="1" t="s">
        <v>34</v>
      </c>
      <c r="T204" s="1" t="s">
        <v>34</v>
      </c>
      <c r="U204" s="1" t="s">
        <v>247</v>
      </c>
      <c r="V204" s="1" t="s">
        <v>34</v>
      </c>
      <c r="W204" s="1" t="s">
        <v>249</v>
      </c>
      <c r="X204" s="1" t="s">
        <v>248</v>
      </c>
    </row>
    <row r="205" spans="1:24" ht="135" x14ac:dyDescent="0.25">
      <c r="A205" s="1" t="s">
        <v>318</v>
      </c>
      <c r="B205" s="2" t="s">
        <v>319</v>
      </c>
      <c r="C205" s="2" t="s">
        <v>320</v>
      </c>
      <c r="D205" s="2" t="s">
        <v>48</v>
      </c>
      <c r="E205" s="2" t="s">
        <v>48</v>
      </c>
      <c r="F205" s="3">
        <v>4153827717</v>
      </c>
      <c r="G205" s="4" t="s">
        <v>48</v>
      </c>
      <c r="H205" s="1" t="s">
        <v>34</v>
      </c>
      <c r="I205" s="1">
        <v>497797</v>
      </c>
      <c r="J205" s="1" t="s">
        <v>48</v>
      </c>
      <c r="K205" s="1" t="s">
        <v>35</v>
      </c>
      <c r="M205" s="1" t="s">
        <v>2</v>
      </c>
      <c r="O205" s="1" t="s">
        <v>0</v>
      </c>
      <c r="Q205" s="1" t="s">
        <v>34</v>
      </c>
      <c r="R205" s="1" t="s">
        <v>34</v>
      </c>
      <c r="S205" s="1" t="s">
        <v>34</v>
      </c>
      <c r="T205" s="1" t="s">
        <v>34</v>
      </c>
      <c r="U205" s="1" t="s">
        <v>1184</v>
      </c>
      <c r="V205" s="1" t="s">
        <v>1210</v>
      </c>
      <c r="W205" s="1" t="s">
        <v>1213</v>
      </c>
      <c r="X205" s="1" t="s">
        <v>1185</v>
      </c>
    </row>
    <row r="206" spans="1:24" ht="75" x14ac:dyDescent="0.25">
      <c r="A206" s="1" t="s">
        <v>862</v>
      </c>
      <c r="B206" s="2" t="s">
        <v>613</v>
      </c>
      <c r="C206" s="2" t="s">
        <v>614</v>
      </c>
      <c r="D206" s="2" t="s">
        <v>48</v>
      </c>
      <c r="E206" s="2" t="s">
        <v>48</v>
      </c>
      <c r="F206" s="3">
        <v>8585474300</v>
      </c>
      <c r="G206" s="4" t="s">
        <v>48</v>
      </c>
      <c r="H206" s="1" t="s">
        <v>34</v>
      </c>
      <c r="I206" s="1">
        <v>941109</v>
      </c>
      <c r="J206" s="1" t="s">
        <v>48</v>
      </c>
      <c r="K206" s="1" t="s">
        <v>35</v>
      </c>
      <c r="L206" s="1" t="s">
        <v>961</v>
      </c>
      <c r="M206" s="1" t="s">
        <v>2</v>
      </c>
      <c r="N206" s="1" t="s">
        <v>3</v>
      </c>
      <c r="O206" s="1" t="s">
        <v>0</v>
      </c>
      <c r="Q206" s="1" t="s">
        <v>34</v>
      </c>
      <c r="R206" s="1" t="s">
        <v>34</v>
      </c>
      <c r="S206" s="1" t="s">
        <v>34</v>
      </c>
      <c r="T206" s="1" t="s">
        <v>34</v>
      </c>
      <c r="U206" s="1" t="s">
        <v>1186</v>
      </c>
      <c r="V206" s="1" t="s">
        <v>34</v>
      </c>
      <c r="W206" s="1" t="s">
        <v>615</v>
      </c>
      <c r="X206" s="1" t="s">
        <v>1049</v>
      </c>
    </row>
    <row r="207" spans="1:24" ht="30" x14ac:dyDescent="0.25">
      <c r="A207" s="1" t="s">
        <v>476</v>
      </c>
      <c r="B207" s="2" t="s">
        <v>477</v>
      </c>
      <c r="C207" s="2" t="s">
        <v>478</v>
      </c>
      <c r="D207" s="2" t="s">
        <v>48</v>
      </c>
      <c r="E207" s="2" t="s">
        <v>48</v>
      </c>
      <c r="F207" s="3">
        <v>19097490106</v>
      </c>
      <c r="G207" s="4" t="s">
        <v>48</v>
      </c>
      <c r="H207" s="1" t="s">
        <v>34</v>
      </c>
      <c r="I207" s="1">
        <v>971194</v>
      </c>
      <c r="J207" s="1" t="s">
        <v>48</v>
      </c>
      <c r="K207" s="1" t="s">
        <v>35</v>
      </c>
      <c r="L207" s="1" t="s">
        <v>961</v>
      </c>
      <c r="M207" s="1" t="s">
        <v>2</v>
      </c>
      <c r="N207" s="1" t="s">
        <v>3</v>
      </c>
      <c r="O207" s="1" t="s">
        <v>0</v>
      </c>
      <c r="P207" s="1" t="s">
        <v>1</v>
      </c>
      <c r="Q207" s="1" t="s">
        <v>34</v>
      </c>
      <c r="R207" s="1" t="s">
        <v>34</v>
      </c>
      <c r="S207" s="1" t="s">
        <v>34</v>
      </c>
      <c r="T207" s="1" t="s">
        <v>36</v>
      </c>
      <c r="U207" s="1" t="s">
        <v>1213</v>
      </c>
      <c r="V207" s="1" t="s">
        <v>1210</v>
      </c>
      <c r="W207" s="1" t="s">
        <v>1213</v>
      </c>
      <c r="X207" s="1" t="s">
        <v>1213</v>
      </c>
    </row>
    <row r="208" spans="1:24" ht="60" x14ac:dyDescent="0.25">
      <c r="A208" s="1" t="s">
        <v>160</v>
      </c>
      <c r="B208" s="2" t="s">
        <v>161</v>
      </c>
      <c r="C208" s="2" t="s">
        <v>162</v>
      </c>
      <c r="D208" s="2" t="s">
        <v>48</v>
      </c>
      <c r="E208" s="2" t="s">
        <v>48</v>
      </c>
      <c r="F208" s="3">
        <v>9164001197</v>
      </c>
      <c r="G208" s="4" t="s">
        <v>48</v>
      </c>
      <c r="H208" s="1" t="s">
        <v>34</v>
      </c>
      <c r="I208" s="1">
        <v>1018541</v>
      </c>
      <c r="J208" s="1" t="s">
        <v>48</v>
      </c>
      <c r="K208" s="1" t="s">
        <v>35</v>
      </c>
      <c r="L208" s="1" t="s">
        <v>961</v>
      </c>
      <c r="M208" s="1" t="s">
        <v>2</v>
      </c>
      <c r="N208" s="1" t="s">
        <v>3</v>
      </c>
      <c r="O208" s="1" t="s">
        <v>0</v>
      </c>
      <c r="P208" s="1" t="s">
        <v>1</v>
      </c>
      <c r="Q208" s="1" t="s">
        <v>34</v>
      </c>
      <c r="R208" s="1" t="s">
        <v>36</v>
      </c>
      <c r="S208" s="1" t="s">
        <v>34</v>
      </c>
      <c r="T208" s="1" t="s">
        <v>36</v>
      </c>
      <c r="U208" s="1" t="s">
        <v>1213</v>
      </c>
      <c r="V208" s="1" t="s">
        <v>34</v>
      </c>
      <c r="W208" s="1" t="s">
        <v>1187</v>
      </c>
      <c r="X208" s="1" t="s">
        <v>1096</v>
      </c>
    </row>
    <row r="209" spans="1:24" ht="60" x14ac:dyDescent="0.25">
      <c r="A209" s="1" t="s">
        <v>420</v>
      </c>
      <c r="B209" s="2" t="s">
        <v>421</v>
      </c>
      <c r="C209" s="2" t="s">
        <v>422</v>
      </c>
      <c r="D209" s="2" t="s">
        <v>48</v>
      </c>
      <c r="E209" s="2" t="s">
        <v>48</v>
      </c>
      <c r="F209" s="3">
        <v>8054665595</v>
      </c>
      <c r="G209" s="4" t="s">
        <v>48</v>
      </c>
      <c r="H209" s="1" t="s">
        <v>34</v>
      </c>
      <c r="I209" s="1">
        <v>391670</v>
      </c>
      <c r="J209" s="1" t="s">
        <v>48</v>
      </c>
      <c r="K209" s="1" t="s">
        <v>35</v>
      </c>
      <c r="L209" s="1" t="s">
        <v>961</v>
      </c>
      <c r="M209" s="1" t="s">
        <v>2</v>
      </c>
      <c r="N209" s="1" t="s">
        <v>3</v>
      </c>
      <c r="O209" s="1" t="s">
        <v>0</v>
      </c>
      <c r="Q209" s="1" t="s">
        <v>34</v>
      </c>
      <c r="R209" s="1" t="s">
        <v>34</v>
      </c>
      <c r="S209" s="1" t="s">
        <v>34</v>
      </c>
      <c r="T209" s="1" t="s">
        <v>34</v>
      </c>
      <c r="U209" s="1" t="s">
        <v>1188</v>
      </c>
      <c r="V209" s="1" t="s">
        <v>34</v>
      </c>
      <c r="W209" s="1" t="s">
        <v>1189</v>
      </c>
      <c r="X209" s="1" t="s">
        <v>1097</v>
      </c>
    </row>
    <row r="210" spans="1:24" ht="30" x14ac:dyDescent="0.25">
      <c r="A210" s="1" t="s">
        <v>227</v>
      </c>
      <c r="B210" s="2" t="s">
        <v>228</v>
      </c>
      <c r="C210" s="2" t="s">
        <v>229</v>
      </c>
      <c r="D210" s="2" t="s">
        <v>48</v>
      </c>
      <c r="E210" s="2" t="s">
        <v>48</v>
      </c>
      <c r="F210" s="3">
        <v>8888668117</v>
      </c>
      <c r="G210" s="4" t="s">
        <v>48</v>
      </c>
      <c r="H210" s="1" t="s">
        <v>34</v>
      </c>
      <c r="I210" s="1">
        <v>835131</v>
      </c>
      <c r="J210" s="1" t="s">
        <v>48</v>
      </c>
      <c r="K210" s="1" t="s">
        <v>35</v>
      </c>
      <c r="M210" s="1" t="s">
        <v>2</v>
      </c>
      <c r="N210" s="1" t="s">
        <v>3</v>
      </c>
      <c r="O210" s="1" t="s">
        <v>0</v>
      </c>
      <c r="P210" s="1" t="s">
        <v>1</v>
      </c>
      <c r="Q210" s="1" t="s">
        <v>36</v>
      </c>
      <c r="R210" s="1" t="s">
        <v>34</v>
      </c>
      <c r="S210" s="1" t="s">
        <v>34</v>
      </c>
      <c r="T210" s="1" t="s">
        <v>36</v>
      </c>
      <c r="U210" s="1" t="s">
        <v>1213</v>
      </c>
      <c r="V210" s="1" t="s">
        <v>1210</v>
      </c>
      <c r="W210" s="1" t="s">
        <v>1213</v>
      </c>
      <c r="X210" s="1" t="s">
        <v>1050</v>
      </c>
    </row>
    <row r="211" spans="1:24" ht="30" x14ac:dyDescent="0.25">
      <c r="A211" s="1" t="s">
        <v>950</v>
      </c>
      <c r="B211" s="2" t="s">
        <v>949</v>
      </c>
      <c r="C211" s="2" t="s">
        <v>835</v>
      </c>
      <c r="D211" s="2" t="s">
        <v>48</v>
      </c>
      <c r="E211" s="2" t="s">
        <v>48</v>
      </c>
      <c r="F211" s="3">
        <v>5593256907</v>
      </c>
      <c r="G211" s="4" t="s">
        <v>48</v>
      </c>
      <c r="H211" s="1" t="s">
        <v>34</v>
      </c>
      <c r="I211" s="1">
        <v>911489</v>
      </c>
      <c r="J211" s="1" t="s">
        <v>48</v>
      </c>
      <c r="K211" s="1" t="s">
        <v>35</v>
      </c>
      <c r="L211" s="1" t="s">
        <v>961</v>
      </c>
      <c r="M211" s="1" t="s">
        <v>2</v>
      </c>
      <c r="N211" s="1" t="s">
        <v>3</v>
      </c>
      <c r="O211" s="1" t="s">
        <v>0</v>
      </c>
      <c r="Q211" s="1" t="s">
        <v>34</v>
      </c>
      <c r="R211" s="1" t="s">
        <v>34</v>
      </c>
      <c r="S211" s="1" t="s">
        <v>34</v>
      </c>
      <c r="T211" s="1" t="s">
        <v>36</v>
      </c>
      <c r="U211" s="1" t="s">
        <v>1213</v>
      </c>
      <c r="V211" s="1" t="s">
        <v>1210</v>
      </c>
      <c r="W211" s="1" t="s">
        <v>1213</v>
      </c>
      <c r="X211" s="1" t="s">
        <v>1213</v>
      </c>
    </row>
    <row r="212" spans="1:24" ht="30" x14ac:dyDescent="0.25">
      <c r="A212" s="1" t="s">
        <v>556</v>
      </c>
      <c r="B212" s="2" t="s">
        <v>557</v>
      </c>
      <c r="C212" s="2" t="s">
        <v>558</v>
      </c>
      <c r="D212" s="2" t="s">
        <v>48</v>
      </c>
      <c r="E212" s="2" t="s">
        <v>48</v>
      </c>
      <c r="F212" s="3">
        <v>7078498543</v>
      </c>
      <c r="G212" s="4" t="s">
        <v>48</v>
      </c>
      <c r="H212" s="1" t="s">
        <v>34</v>
      </c>
      <c r="I212" s="1">
        <v>1035189</v>
      </c>
      <c r="J212" s="1" t="s">
        <v>48</v>
      </c>
      <c r="K212" s="1" t="s">
        <v>35</v>
      </c>
      <c r="M212" s="1" t="s">
        <v>2</v>
      </c>
      <c r="O212" s="1" t="s">
        <v>0</v>
      </c>
      <c r="Q212" s="1" t="s">
        <v>34</v>
      </c>
      <c r="R212" s="1" t="s">
        <v>36</v>
      </c>
      <c r="S212" s="1" t="s">
        <v>34</v>
      </c>
      <c r="T212" s="1" t="s">
        <v>36</v>
      </c>
      <c r="U212" s="1" t="s">
        <v>1213</v>
      </c>
      <c r="V212" s="1" t="s">
        <v>1210</v>
      </c>
      <c r="W212" s="1" t="s">
        <v>1213</v>
      </c>
      <c r="X212" s="1" t="s">
        <v>1213</v>
      </c>
    </row>
    <row r="213" spans="1:24" ht="45" x14ac:dyDescent="0.25">
      <c r="A213" s="1" t="s">
        <v>894</v>
      </c>
      <c r="B213" s="2" t="s">
        <v>703</v>
      </c>
      <c r="C213" s="2" t="s">
        <v>704</v>
      </c>
      <c r="D213" s="2" t="s">
        <v>48</v>
      </c>
      <c r="E213" s="2" t="s">
        <v>48</v>
      </c>
      <c r="F213" s="3">
        <v>9253095442</v>
      </c>
      <c r="G213" s="4" t="s">
        <v>48</v>
      </c>
      <c r="H213" s="1" t="s">
        <v>34</v>
      </c>
      <c r="I213" s="1">
        <v>1053105</v>
      </c>
      <c r="J213" s="1" t="s">
        <v>48</v>
      </c>
      <c r="K213" s="1" t="s">
        <v>35</v>
      </c>
      <c r="M213" s="1" t="s">
        <v>2</v>
      </c>
      <c r="N213" s="1" t="s">
        <v>3</v>
      </c>
      <c r="O213" s="1" t="s">
        <v>0</v>
      </c>
      <c r="Q213" s="1" t="s">
        <v>34</v>
      </c>
      <c r="R213" s="1" t="s">
        <v>34</v>
      </c>
      <c r="S213" s="1" t="s">
        <v>34</v>
      </c>
      <c r="T213" s="1" t="s">
        <v>36</v>
      </c>
      <c r="U213" s="1" t="s">
        <v>1213</v>
      </c>
      <c r="V213" s="1" t="s">
        <v>34</v>
      </c>
      <c r="W213" s="1" t="s">
        <v>705</v>
      </c>
      <c r="X213" s="1" t="s">
        <v>1098</v>
      </c>
    </row>
    <row r="214" spans="1:24" ht="30" x14ac:dyDescent="0.25">
      <c r="A214" s="1" t="s">
        <v>582</v>
      </c>
      <c r="B214" s="2" t="s">
        <v>583</v>
      </c>
      <c r="C214" s="2" t="s">
        <v>584</v>
      </c>
      <c r="D214" s="2" t="s">
        <v>48</v>
      </c>
      <c r="E214" s="2" t="s">
        <v>48</v>
      </c>
      <c r="F214" s="3">
        <v>7608514270</v>
      </c>
      <c r="G214" s="4" t="s">
        <v>48</v>
      </c>
      <c r="H214" s="1" t="s">
        <v>34</v>
      </c>
      <c r="I214" s="1">
        <v>1021026</v>
      </c>
      <c r="J214" s="1" t="s">
        <v>48</v>
      </c>
      <c r="K214" s="1" t="s">
        <v>35</v>
      </c>
      <c r="L214" s="1" t="s">
        <v>961</v>
      </c>
      <c r="M214" s="1" t="s">
        <v>2</v>
      </c>
      <c r="N214" s="1" t="s">
        <v>3</v>
      </c>
      <c r="O214" s="1" t="s">
        <v>0</v>
      </c>
      <c r="Q214" s="1" t="s">
        <v>34</v>
      </c>
      <c r="R214" s="1" t="s">
        <v>34</v>
      </c>
      <c r="S214" s="1" t="s">
        <v>34</v>
      </c>
      <c r="T214" s="1" t="s">
        <v>36</v>
      </c>
      <c r="U214" s="1" t="s">
        <v>1213</v>
      </c>
      <c r="V214" s="1" t="s">
        <v>1210</v>
      </c>
      <c r="W214" s="1" t="s">
        <v>1213</v>
      </c>
      <c r="X214" s="1" t="s">
        <v>1051</v>
      </c>
    </row>
    <row r="215" spans="1:24" ht="30" x14ac:dyDescent="0.25">
      <c r="A215" s="1" t="s">
        <v>333</v>
      </c>
      <c r="B215" s="2" t="s">
        <v>334</v>
      </c>
      <c r="C215" s="2" t="s">
        <v>335</v>
      </c>
      <c r="D215" s="2" t="s">
        <v>48</v>
      </c>
      <c r="E215" s="2" t="s">
        <v>48</v>
      </c>
      <c r="F215" s="3">
        <v>5102857352</v>
      </c>
      <c r="G215" s="4" t="s">
        <v>48</v>
      </c>
      <c r="H215" s="1" t="s">
        <v>34</v>
      </c>
      <c r="I215" s="1">
        <v>1045240</v>
      </c>
      <c r="J215" s="1" t="s">
        <v>48</v>
      </c>
      <c r="L215" s="1" t="s">
        <v>44</v>
      </c>
      <c r="N215" s="1" t="s">
        <v>3</v>
      </c>
      <c r="Q215" s="1" t="s">
        <v>34</v>
      </c>
      <c r="R215" s="1" t="s">
        <v>34</v>
      </c>
      <c r="S215" s="1" t="s">
        <v>34</v>
      </c>
      <c r="T215" s="1" t="s">
        <v>36</v>
      </c>
      <c r="U215" s="1" t="s">
        <v>1213</v>
      </c>
      <c r="V215" s="1" t="s">
        <v>34</v>
      </c>
      <c r="W215" s="1" t="s">
        <v>1052</v>
      </c>
      <c r="X215" s="1" t="s">
        <v>336</v>
      </c>
    </row>
    <row r="216" spans="1:24" ht="75" x14ac:dyDescent="0.25">
      <c r="A216" s="1" t="s">
        <v>129</v>
      </c>
      <c r="B216" s="2" t="s">
        <v>130</v>
      </c>
      <c r="C216" s="2" t="s">
        <v>131</v>
      </c>
      <c r="D216" s="2" t="s">
        <v>48</v>
      </c>
      <c r="E216" s="2" t="s">
        <v>48</v>
      </c>
      <c r="F216" s="3">
        <v>8667876527</v>
      </c>
      <c r="G216" s="4" t="s">
        <v>48</v>
      </c>
      <c r="H216" s="1" t="s">
        <v>34</v>
      </c>
      <c r="I216" s="1">
        <v>749095</v>
      </c>
      <c r="J216" s="1" t="s">
        <v>48</v>
      </c>
      <c r="K216" s="1" t="s">
        <v>35</v>
      </c>
      <c r="L216" s="1" t="s">
        <v>961</v>
      </c>
      <c r="M216" s="1" t="s">
        <v>2</v>
      </c>
      <c r="N216" s="1" t="s">
        <v>3</v>
      </c>
      <c r="O216" s="1" t="s">
        <v>0</v>
      </c>
      <c r="Q216" s="1" t="s">
        <v>34</v>
      </c>
      <c r="R216" s="1" t="s">
        <v>34</v>
      </c>
      <c r="S216" s="1" t="s">
        <v>34</v>
      </c>
      <c r="T216" s="1" t="s">
        <v>34</v>
      </c>
      <c r="U216" s="1" t="s">
        <v>132</v>
      </c>
      <c r="V216" s="1" t="s">
        <v>34</v>
      </c>
      <c r="W216" s="1" t="s">
        <v>1190</v>
      </c>
      <c r="X216" s="1" t="s">
        <v>133</v>
      </c>
    </row>
    <row r="217" spans="1:24" ht="60" x14ac:dyDescent="0.25">
      <c r="A217" s="1" t="s">
        <v>102</v>
      </c>
      <c r="B217" s="2" t="s">
        <v>103</v>
      </c>
      <c r="C217" s="2" t="s">
        <v>104</v>
      </c>
      <c r="D217" s="2" t="s">
        <v>48</v>
      </c>
      <c r="E217" s="2" t="s">
        <v>48</v>
      </c>
      <c r="F217" s="3">
        <v>8773747836</v>
      </c>
      <c r="G217" s="4" t="s">
        <v>48</v>
      </c>
      <c r="H217" s="1" t="s">
        <v>34</v>
      </c>
      <c r="I217" s="1">
        <v>999142</v>
      </c>
      <c r="J217" s="1" t="s">
        <v>48</v>
      </c>
      <c r="K217" s="1" t="s">
        <v>35</v>
      </c>
      <c r="L217" s="1" t="s">
        <v>961</v>
      </c>
      <c r="M217" s="1" t="s">
        <v>2</v>
      </c>
      <c r="N217" s="1" t="s">
        <v>3</v>
      </c>
      <c r="O217" s="1" t="s">
        <v>0</v>
      </c>
      <c r="P217" s="1" t="s">
        <v>1</v>
      </c>
      <c r="Q217" s="1" t="s">
        <v>34</v>
      </c>
      <c r="R217" s="1" t="s">
        <v>34</v>
      </c>
      <c r="S217" s="1" t="s">
        <v>34</v>
      </c>
      <c r="T217" s="1" t="s">
        <v>36</v>
      </c>
      <c r="U217" s="1" t="s">
        <v>1213</v>
      </c>
      <c r="V217" s="1" t="s">
        <v>1210</v>
      </c>
      <c r="W217" s="1" t="s">
        <v>1213</v>
      </c>
      <c r="X217" s="1" t="s">
        <v>105</v>
      </c>
    </row>
    <row r="218" spans="1:24" ht="30" x14ac:dyDescent="0.25">
      <c r="A218" s="1" t="s">
        <v>901</v>
      </c>
      <c r="B218" s="2" t="s">
        <v>720</v>
      </c>
      <c r="C218" s="2" t="s">
        <v>721</v>
      </c>
      <c r="D218" s="2" t="s">
        <v>48</v>
      </c>
      <c r="E218" s="2" t="s">
        <v>48</v>
      </c>
      <c r="F218" s="3">
        <v>9516849303</v>
      </c>
      <c r="G218" s="4" t="s">
        <v>956</v>
      </c>
      <c r="H218" s="1" t="s">
        <v>34</v>
      </c>
      <c r="I218" s="1">
        <v>787490</v>
      </c>
      <c r="J218" s="1" t="s">
        <v>48</v>
      </c>
      <c r="K218" s="1" t="s">
        <v>35</v>
      </c>
      <c r="L218" s="1" t="s">
        <v>961</v>
      </c>
      <c r="O218" s="1" t="s">
        <v>0</v>
      </c>
      <c r="Q218" s="1" t="s">
        <v>36</v>
      </c>
      <c r="R218" s="1" t="s">
        <v>34</v>
      </c>
      <c r="S218" s="1" t="s">
        <v>34</v>
      </c>
      <c r="T218" s="1" t="s">
        <v>36</v>
      </c>
      <c r="U218" s="1" t="s">
        <v>1213</v>
      </c>
      <c r="V218" s="1" t="s">
        <v>1210</v>
      </c>
      <c r="W218" s="1" t="s">
        <v>1213</v>
      </c>
      <c r="X218" s="1" t="s">
        <v>1213</v>
      </c>
    </row>
    <row r="219" spans="1:24" ht="150" x14ac:dyDescent="0.25">
      <c r="A219" s="1" t="s">
        <v>337</v>
      </c>
      <c r="B219" s="2" t="s">
        <v>338</v>
      </c>
      <c r="C219" s="2" t="s">
        <v>339</v>
      </c>
      <c r="D219" s="2" t="s">
        <v>48</v>
      </c>
      <c r="E219" s="2" t="s">
        <v>48</v>
      </c>
      <c r="F219" s="3">
        <v>8002334786</v>
      </c>
      <c r="G219" s="4" t="s">
        <v>48</v>
      </c>
      <c r="H219" s="1" t="s">
        <v>34</v>
      </c>
      <c r="I219" s="1">
        <v>326203</v>
      </c>
      <c r="J219" s="1" t="s">
        <v>48</v>
      </c>
      <c r="Q219" s="1" t="s">
        <v>34</v>
      </c>
      <c r="R219" s="1" t="s">
        <v>34</v>
      </c>
      <c r="S219" s="1" t="s">
        <v>34</v>
      </c>
      <c r="T219" s="1" t="s">
        <v>34</v>
      </c>
      <c r="U219" s="1" t="s">
        <v>340</v>
      </c>
      <c r="V219" s="1" t="s">
        <v>34</v>
      </c>
      <c r="W219" s="1" t="s">
        <v>1191</v>
      </c>
      <c r="X219" s="1" t="s">
        <v>1053</v>
      </c>
    </row>
    <row r="220" spans="1:24" ht="60" x14ac:dyDescent="0.25">
      <c r="A220" s="1" t="s">
        <v>925</v>
      </c>
      <c r="B220" s="2" t="s">
        <v>88</v>
      </c>
      <c r="C220" s="2" t="s">
        <v>770</v>
      </c>
      <c r="D220" s="2" t="s">
        <v>48</v>
      </c>
      <c r="E220" s="2" t="s">
        <v>48</v>
      </c>
      <c r="F220" s="3">
        <v>7079998036</v>
      </c>
      <c r="G220" s="4" t="s">
        <v>48</v>
      </c>
      <c r="H220" s="1" t="s">
        <v>34</v>
      </c>
      <c r="I220" s="1">
        <v>979872</v>
      </c>
      <c r="J220" s="1" t="s">
        <v>48</v>
      </c>
      <c r="K220" s="1" t="s">
        <v>35</v>
      </c>
      <c r="M220" s="1" t="s">
        <v>2</v>
      </c>
      <c r="N220" s="1" t="s">
        <v>3</v>
      </c>
      <c r="O220" s="1" t="s">
        <v>0</v>
      </c>
      <c r="P220" s="1" t="s">
        <v>1</v>
      </c>
      <c r="Q220" s="1" t="s">
        <v>34</v>
      </c>
      <c r="R220" s="1" t="s">
        <v>34</v>
      </c>
      <c r="S220" s="1" t="s">
        <v>34</v>
      </c>
      <c r="T220" s="1" t="s">
        <v>34</v>
      </c>
      <c r="U220" s="1" t="s">
        <v>771</v>
      </c>
      <c r="V220" s="1" t="s">
        <v>34</v>
      </c>
      <c r="W220" s="1" t="s">
        <v>1054</v>
      </c>
      <c r="X220" s="1" t="s">
        <v>1213</v>
      </c>
    </row>
    <row r="221" spans="1:24" ht="30" x14ac:dyDescent="0.25">
      <c r="A221" s="1" t="s">
        <v>297</v>
      </c>
      <c r="B221" s="2" t="s">
        <v>298</v>
      </c>
      <c r="C221" s="2" t="s">
        <v>818</v>
      </c>
      <c r="D221" s="2" t="s">
        <v>299</v>
      </c>
      <c r="E221" s="2" t="s">
        <v>48</v>
      </c>
      <c r="F221" s="3">
        <v>9167599513</v>
      </c>
      <c r="G221" s="3">
        <v>8333217866</v>
      </c>
      <c r="H221" s="1" t="s">
        <v>34</v>
      </c>
      <c r="I221" s="1">
        <v>970886</v>
      </c>
      <c r="J221" s="1" t="s">
        <v>48</v>
      </c>
      <c r="K221" s="1" t="s">
        <v>35</v>
      </c>
      <c r="L221" s="1" t="s">
        <v>961</v>
      </c>
      <c r="M221" s="1" t="s">
        <v>2</v>
      </c>
      <c r="N221" s="1" t="s">
        <v>3</v>
      </c>
      <c r="O221" s="1" t="s">
        <v>0</v>
      </c>
      <c r="Q221" s="1" t="s">
        <v>34</v>
      </c>
      <c r="R221" s="1" t="s">
        <v>34</v>
      </c>
      <c r="S221" s="1" t="s">
        <v>34</v>
      </c>
      <c r="T221" s="1" t="s">
        <v>34</v>
      </c>
      <c r="U221" s="1" t="s">
        <v>300</v>
      </c>
      <c r="V221" s="1" t="s">
        <v>1210</v>
      </c>
      <c r="W221" s="1" t="s">
        <v>1213</v>
      </c>
      <c r="X221" s="1" t="s">
        <v>1213</v>
      </c>
    </row>
    <row r="222" spans="1:24" ht="45" x14ac:dyDescent="0.25">
      <c r="A222" s="1" t="s">
        <v>919</v>
      </c>
      <c r="B222" s="2" t="s">
        <v>759</v>
      </c>
      <c r="C222" s="2" t="s">
        <v>760</v>
      </c>
      <c r="D222" s="2" t="s">
        <v>48</v>
      </c>
      <c r="E222" s="2" t="s">
        <v>48</v>
      </c>
      <c r="F222" s="3">
        <v>8059344665</v>
      </c>
      <c r="G222" s="4" t="s">
        <v>48</v>
      </c>
      <c r="H222" s="1" t="s">
        <v>34</v>
      </c>
      <c r="I222" s="1">
        <v>676518</v>
      </c>
      <c r="J222" s="1" t="s">
        <v>48</v>
      </c>
      <c r="K222" s="1" t="s">
        <v>35</v>
      </c>
      <c r="M222" s="1" t="s">
        <v>2</v>
      </c>
      <c r="O222" s="1" t="s">
        <v>0</v>
      </c>
      <c r="Q222" s="1" t="s">
        <v>36</v>
      </c>
      <c r="R222" s="1" t="s">
        <v>34</v>
      </c>
      <c r="S222" s="1" t="s">
        <v>34</v>
      </c>
      <c r="T222" s="1" t="s">
        <v>36</v>
      </c>
      <c r="U222" s="1" t="s">
        <v>1213</v>
      </c>
      <c r="V222" s="1" t="s">
        <v>1210</v>
      </c>
      <c r="W222" s="1" t="s">
        <v>1213</v>
      </c>
      <c r="X222" s="1" t="s">
        <v>761</v>
      </c>
    </row>
    <row r="223" spans="1:24" ht="60" x14ac:dyDescent="0.25">
      <c r="A223" s="1" t="s">
        <v>1055</v>
      </c>
      <c r="B223" s="2" t="s">
        <v>1056</v>
      </c>
      <c r="C223" s="2" t="s">
        <v>1057</v>
      </c>
      <c r="D223" s="2" t="s">
        <v>48</v>
      </c>
      <c r="E223" s="2" t="s">
        <v>48</v>
      </c>
      <c r="F223" s="3">
        <v>7074693870</v>
      </c>
      <c r="G223" s="4">
        <v>9095220218</v>
      </c>
      <c r="H223" s="1" t="s">
        <v>34</v>
      </c>
      <c r="I223" s="1">
        <v>1015070</v>
      </c>
      <c r="J223" s="1" t="s">
        <v>48</v>
      </c>
      <c r="L223" s="1" t="s">
        <v>44</v>
      </c>
      <c r="N223" s="1" t="s">
        <v>3</v>
      </c>
      <c r="P223" s="1" t="s">
        <v>1</v>
      </c>
      <c r="Q223" s="1" t="s">
        <v>36</v>
      </c>
      <c r="R223" s="1" t="s">
        <v>36</v>
      </c>
      <c r="S223" s="1" t="s">
        <v>34</v>
      </c>
      <c r="T223" s="1" t="s">
        <v>34</v>
      </c>
      <c r="U223" s="1" t="s">
        <v>980</v>
      </c>
      <c r="V223" s="1" t="s">
        <v>34</v>
      </c>
      <c r="W223" s="1" t="s">
        <v>63</v>
      </c>
      <c r="X223" s="1" t="s">
        <v>1213</v>
      </c>
    </row>
    <row r="224" spans="1:24" ht="30" x14ac:dyDescent="0.25">
      <c r="A224" s="1" t="s">
        <v>77</v>
      </c>
      <c r="B224" s="2" t="s">
        <v>78</v>
      </c>
      <c r="C224" s="2" t="s">
        <v>79</v>
      </c>
      <c r="D224" s="2" t="s">
        <v>48</v>
      </c>
      <c r="E224" s="2" t="s">
        <v>48</v>
      </c>
      <c r="F224" s="3">
        <v>7148309590</v>
      </c>
      <c r="G224" s="4" t="s">
        <v>48</v>
      </c>
      <c r="H224" s="1" t="s">
        <v>34</v>
      </c>
      <c r="I224" s="1">
        <v>999745</v>
      </c>
      <c r="J224" s="1" t="s">
        <v>48</v>
      </c>
      <c r="K224" s="1" t="s">
        <v>35</v>
      </c>
      <c r="L224" s="1" t="s">
        <v>961</v>
      </c>
      <c r="M224" s="1" t="s">
        <v>2</v>
      </c>
      <c r="N224" s="1" t="s">
        <v>3</v>
      </c>
      <c r="O224" s="1" t="s">
        <v>0</v>
      </c>
      <c r="P224" s="1" t="s">
        <v>1</v>
      </c>
      <c r="Q224" s="1" t="s">
        <v>36</v>
      </c>
      <c r="R224" s="1" t="s">
        <v>34</v>
      </c>
      <c r="S224" s="1" t="s">
        <v>34</v>
      </c>
      <c r="T224" s="1" t="s">
        <v>36</v>
      </c>
      <c r="U224" s="1" t="s">
        <v>1213</v>
      </c>
      <c r="V224" s="1" t="s">
        <v>1210</v>
      </c>
      <c r="W224" s="1" t="s">
        <v>1213</v>
      </c>
      <c r="X224" s="1" t="s">
        <v>1213</v>
      </c>
    </row>
    <row r="225" spans="1:24" ht="105" x14ac:dyDescent="0.25">
      <c r="A225" s="1" t="s">
        <v>444</v>
      </c>
      <c r="B225" s="2" t="s">
        <v>445</v>
      </c>
      <c r="C225" s="2" t="s">
        <v>446</v>
      </c>
      <c r="D225" s="2" t="s">
        <v>48</v>
      </c>
      <c r="E225" s="2" t="s">
        <v>48</v>
      </c>
      <c r="F225" s="3">
        <v>6268510008</v>
      </c>
      <c r="G225" s="4" t="s">
        <v>48</v>
      </c>
      <c r="H225" s="1" t="s">
        <v>34</v>
      </c>
      <c r="I225" s="1">
        <v>935910</v>
      </c>
      <c r="J225" s="1" t="s">
        <v>48</v>
      </c>
      <c r="K225" s="1" t="s">
        <v>35</v>
      </c>
      <c r="L225" s="1" t="s">
        <v>961</v>
      </c>
      <c r="M225" s="1" t="s">
        <v>2</v>
      </c>
      <c r="N225" s="1" t="s">
        <v>3</v>
      </c>
      <c r="O225" s="1" t="s">
        <v>0</v>
      </c>
      <c r="Q225" s="1" t="s">
        <v>34</v>
      </c>
      <c r="R225" s="1" t="s">
        <v>34</v>
      </c>
      <c r="S225" s="1" t="s">
        <v>34</v>
      </c>
      <c r="T225" s="1" t="s">
        <v>34</v>
      </c>
      <c r="U225" s="1" t="s">
        <v>447</v>
      </c>
      <c r="V225" s="1" t="s">
        <v>34</v>
      </c>
      <c r="W225" s="1" t="s">
        <v>1059</v>
      </c>
      <c r="X225" s="1" t="s">
        <v>1058</v>
      </c>
    </row>
    <row r="226" spans="1:24" ht="60" x14ac:dyDescent="0.25">
      <c r="A226" s="1" t="s">
        <v>887</v>
      </c>
      <c r="B226" s="2" t="s">
        <v>679</v>
      </c>
      <c r="C226" s="2" t="s">
        <v>680</v>
      </c>
      <c r="D226" s="2" t="s">
        <v>48</v>
      </c>
      <c r="E226" s="2" t="s">
        <v>48</v>
      </c>
      <c r="F226" s="3">
        <v>3238963247</v>
      </c>
      <c r="G226" s="4" t="s">
        <v>48</v>
      </c>
      <c r="H226" s="1" t="s">
        <v>34</v>
      </c>
      <c r="I226" s="1">
        <v>1028012</v>
      </c>
      <c r="J226" s="1" t="s">
        <v>48</v>
      </c>
      <c r="K226" s="1" t="s">
        <v>35</v>
      </c>
      <c r="L226" s="1" t="s">
        <v>961</v>
      </c>
      <c r="M226" s="1" t="s">
        <v>2</v>
      </c>
      <c r="O226" s="1" t="s">
        <v>0</v>
      </c>
      <c r="P226" s="1" t="s">
        <v>1</v>
      </c>
      <c r="Q226" s="1" t="s">
        <v>36</v>
      </c>
      <c r="R226" s="1" t="s">
        <v>36</v>
      </c>
      <c r="S226" s="1" t="s">
        <v>34</v>
      </c>
      <c r="T226" s="1" t="s">
        <v>34</v>
      </c>
      <c r="U226" s="1" t="s">
        <v>681</v>
      </c>
      <c r="V226" s="1" t="s">
        <v>34</v>
      </c>
      <c r="W226" s="1" t="s">
        <v>682</v>
      </c>
      <c r="X226" s="1" t="s">
        <v>1099</v>
      </c>
    </row>
    <row r="227" spans="1:24" ht="30" x14ac:dyDescent="0.25">
      <c r="A227" s="1" t="s">
        <v>572</v>
      </c>
      <c r="B227" s="2" t="s">
        <v>573</v>
      </c>
      <c r="C227" s="2" t="s">
        <v>574</v>
      </c>
      <c r="D227" s="2" t="s">
        <v>48</v>
      </c>
      <c r="E227" s="2" t="s">
        <v>48</v>
      </c>
      <c r="F227" s="3">
        <v>8007015022</v>
      </c>
      <c r="G227" s="4" t="s">
        <v>48</v>
      </c>
      <c r="H227" s="1" t="s">
        <v>34</v>
      </c>
      <c r="I227" s="1">
        <v>971708</v>
      </c>
      <c r="J227" s="1" t="s">
        <v>48</v>
      </c>
      <c r="K227" s="1" t="s">
        <v>35</v>
      </c>
      <c r="M227" s="1" t="s">
        <v>2</v>
      </c>
      <c r="O227" s="1" t="s">
        <v>0</v>
      </c>
      <c r="Q227" s="1" t="s">
        <v>34</v>
      </c>
      <c r="R227" s="1" t="s">
        <v>34</v>
      </c>
      <c r="S227" s="1" t="s">
        <v>34</v>
      </c>
      <c r="T227" s="1" t="s">
        <v>36</v>
      </c>
      <c r="U227" s="1" t="s">
        <v>1213</v>
      </c>
      <c r="V227" s="1" t="s">
        <v>1210</v>
      </c>
      <c r="W227" s="1" t="s">
        <v>1213</v>
      </c>
      <c r="X227" s="1" t="s">
        <v>1213</v>
      </c>
    </row>
    <row r="228" spans="1:24" ht="30" x14ac:dyDescent="0.25">
      <c r="A228" s="1" t="s">
        <v>523</v>
      </c>
      <c r="B228" s="2" t="s">
        <v>524</v>
      </c>
      <c r="C228" s="2" t="s">
        <v>525</v>
      </c>
      <c r="D228" s="2" t="s">
        <v>48</v>
      </c>
      <c r="E228" s="2" t="s">
        <v>48</v>
      </c>
      <c r="F228" s="3">
        <v>8667866682</v>
      </c>
      <c r="G228" s="4" t="s">
        <v>48</v>
      </c>
      <c r="H228" s="1" t="s">
        <v>34</v>
      </c>
      <c r="I228" s="1">
        <v>1003498</v>
      </c>
      <c r="J228" s="1" t="s">
        <v>48</v>
      </c>
      <c r="L228" s="1" t="s">
        <v>44</v>
      </c>
      <c r="O228" s="1" t="s">
        <v>0</v>
      </c>
      <c r="Q228" s="1" t="s">
        <v>34</v>
      </c>
      <c r="R228" s="1" t="s">
        <v>34</v>
      </c>
      <c r="S228" s="1" t="s">
        <v>34</v>
      </c>
      <c r="T228" s="1" t="s">
        <v>36</v>
      </c>
      <c r="U228" s="1" t="s">
        <v>1213</v>
      </c>
      <c r="V228" s="1" t="s">
        <v>1210</v>
      </c>
      <c r="W228" s="1" t="s">
        <v>1213</v>
      </c>
      <c r="X228" s="1" t="s">
        <v>1213</v>
      </c>
    </row>
    <row r="229" spans="1:24" ht="30" x14ac:dyDescent="0.25">
      <c r="A229" s="1" t="s">
        <v>56</v>
      </c>
      <c r="B229" s="5" t="s">
        <v>962</v>
      </c>
      <c r="C229" s="2" t="s">
        <v>57</v>
      </c>
      <c r="D229" s="2" t="s">
        <v>48</v>
      </c>
      <c r="E229" s="2" t="s">
        <v>48</v>
      </c>
      <c r="F229" s="3">
        <v>8444478666</v>
      </c>
      <c r="G229" s="4" t="s">
        <v>48</v>
      </c>
      <c r="H229" s="1" t="s">
        <v>34</v>
      </c>
      <c r="I229" s="1">
        <v>1055525</v>
      </c>
      <c r="J229" s="1" t="s">
        <v>48</v>
      </c>
      <c r="K229" s="1" t="s">
        <v>35</v>
      </c>
      <c r="L229" s="1" t="s">
        <v>961</v>
      </c>
      <c r="M229" s="1" t="s">
        <v>2</v>
      </c>
      <c r="N229" s="1" t="s">
        <v>3</v>
      </c>
      <c r="O229" s="1" t="s">
        <v>0</v>
      </c>
      <c r="P229" s="1" t="s">
        <v>1</v>
      </c>
      <c r="Q229" s="1" t="s">
        <v>34</v>
      </c>
      <c r="R229" s="1" t="s">
        <v>36</v>
      </c>
      <c r="S229" s="1" t="s">
        <v>34</v>
      </c>
      <c r="T229" s="1" t="s">
        <v>34</v>
      </c>
      <c r="U229" s="1" t="s">
        <v>58</v>
      </c>
      <c r="V229" s="1" t="s">
        <v>1210</v>
      </c>
      <c r="W229" s="1" t="s">
        <v>1213</v>
      </c>
      <c r="X229" s="1" t="s">
        <v>59</v>
      </c>
    </row>
    <row r="230" spans="1:24" ht="30" x14ac:dyDescent="0.25">
      <c r="A230" s="1" t="s">
        <v>1303</v>
      </c>
      <c r="B230" s="2" t="s">
        <v>606</v>
      </c>
      <c r="C230" s="2" t="s">
        <v>607</v>
      </c>
      <c r="D230" s="2" t="s">
        <v>48</v>
      </c>
      <c r="E230" s="2" t="s">
        <v>48</v>
      </c>
      <c r="F230" s="3">
        <v>8554665332</v>
      </c>
      <c r="G230" s="4" t="s">
        <v>48</v>
      </c>
      <c r="H230" s="1" t="s">
        <v>34</v>
      </c>
      <c r="I230" s="1">
        <v>949707</v>
      </c>
      <c r="J230" s="1" t="s">
        <v>48</v>
      </c>
      <c r="K230" s="1" t="s">
        <v>35</v>
      </c>
      <c r="O230" s="1" t="s">
        <v>0</v>
      </c>
      <c r="Q230" s="1" t="s">
        <v>34</v>
      </c>
      <c r="R230" s="1" t="s">
        <v>36</v>
      </c>
      <c r="S230" s="1" t="s">
        <v>36</v>
      </c>
      <c r="T230" s="1" t="s">
        <v>34</v>
      </c>
      <c r="U230" s="1" t="s">
        <v>1213</v>
      </c>
      <c r="V230" s="1" t="s">
        <v>1210</v>
      </c>
      <c r="W230" s="1" t="s">
        <v>1213</v>
      </c>
      <c r="X230" s="1" t="s">
        <v>1213</v>
      </c>
    </row>
    <row r="231" spans="1:24" ht="30" x14ac:dyDescent="0.25">
      <c r="A231" s="1" t="s">
        <v>1302</v>
      </c>
      <c r="B231" s="2" t="s">
        <v>577</v>
      </c>
      <c r="C231" s="2" t="s">
        <v>578</v>
      </c>
      <c r="D231" s="2" t="s">
        <v>48</v>
      </c>
      <c r="E231" s="2" t="s">
        <v>48</v>
      </c>
      <c r="F231" s="3">
        <v>5592750222</v>
      </c>
      <c r="G231" s="4" t="s">
        <v>48</v>
      </c>
      <c r="H231" s="1" t="s">
        <v>34</v>
      </c>
      <c r="I231" s="1">
        <v>716208</v>
      </c>
      <c r="J231" s="1" t="s">
        <v>48</v>
      </c>
      <c r="K231" s="1" t="s">
        <v>35</v>
      </c>
      <c r="L231" s="1" t="s">
        <v>961</v>
      </c>
      <c r="M231" s="1" t="s">
        <v>2</v>
      </c>
      <c r="N231" s="1" t="s">
        <v>3</v>
      </c>
      <c r="O231" s="1" t="s">
        <v>0</v>
      </c>
      <c r="P231" s="1" t="s">
        <v>1</v>
      </c>
      <c r="Q231" s="1" t="s">
        <v>1210</v>
      </c>
      <c r="R231" s="1" t="s">
        <v>1210</v>
      </c>
      <c r="S231" s="1" t="s">
        <v>1210</v>
      </c>
      <c r="T231" s="1" t="s">
        <v>36</v>
      </c>
      <c r="U231" s="1" t="s">
        <v>1213</v>
      </c>
      <c r="V231" s="1" t="s">
        <v>1210</v>
      </c>
      <c r="W231" s="1" t="s">
        <v>1213</v>
      </c>
      <c r="X231" s="1" t="s">
        <v>1213</v>
      </c>
    </row>
    <row r="232" spans="1:24" ht="90" x14ac:dyDescent="0.25">
      <c r="A232" s="1" t="s">
        <v>195</v>
      </c>
      <c r="B232" s="2" t="s">
        <v>196</v>
      </c>
      <c r="C232" s="2" t="s">
        <v>197</v>
      </c>
      <c r="D232" s="2" t="s">
        <v>48</v>
      </c>
      <c r="E232" s="2" t="s">
        <v>48</v>
      </c>
      <c r="F232" s="3">
        <v>5105400550</v>
      </c>
      <c r="G232" s="4" t="s">
        <v>48</v>
      </c>
      <c r="H232" s="1" t="s">
        <v>34</v>
      </c>
      <c r="I232" s="1">
        <v>890895</v>
      </c>
      <c r="J232" s="1" t="s">
        <v>48</v>
      </c>
      <c r="K232" s="1" t="s">
        <v>35</v>
      </c>
      <c r="L232" s="1" t="s">
        <v>961</v>
      </c>
      <c r="M232" s="1" t="s">
        <v>2</v>
      </c>
      <c r="N232" s="1" t="s">
        <v>3</v>
      </c>
      <c r="O232" s="1" t="s">
        <v>0</v>
      </c>
      <c r="P232" s="1" t="s">
        <v>1</v>
      </c>
      <c r="Q232" s="1" t="s">
        <v>34</v>
      </c>
      <c r="R232" s="1" t="s">
        <v>34</v>
      </c>
      <c r="S232" s="1" t="s">
        <v>34</v>
      </c>
      <c r="T232" s="1" t="s">
        <v>34</v>
      </c>
      <c r="U232" s="1" t="s">
        <v>981</v>
      </c>
      <c r="V232" s="1" t="s">
        <v>34</v>
      </c>
      <c r="W232" s="1" t="s">
        <v>1060</v>
      </c>
      <c r="X232" s="1" t="s">
        <v>198</v>
      </c>
    </row>
    <row r="233" spans="1:24" ht="30" x14ac:dyDescent="0.25">
      <c r="A233" s="1" t="s">
        <v>1234</v>
      </c>
      <c r="B233" s="2" t="s">
        <v>1235</v>
      </c>
      <c r="C233" s="2" t="s">
        <v>457</v>
      </c>
      <c r="D233" s="2" t="s">
        <v>48</v>
      </c>
      <c r="E233" s="2" t="s">
        <v>48</v>
      </c>
      <c r="F233" s="3">
        <v>8554786786</v>
      </c>
      <c r="G233" s="4" t="s">
        <v>48</v>
      </c>
      <c r="H233" s="1" t="s">
        <v>34</v>
      </c>
      <c r="I233" s="1">
        <v>750184</v>
      </c>
      <c r="J233" s="1" t="s">
        <v>48</v>
      </c>
      <c r="L233" s="1" t="s">
        <v>44</v>
      </c>
      <c r="O233" s="1" t="s">
        <v>0</v>
      </c>
      <c r="Q233" s="1" t="s">
        <v>1210</v>
      </c>
      <c r="R233" s="1" t="s">
        <v>1210</v>
      </c>
      <c r="S233" s="1" t="s">
        <v>1210</v>
      </c>
      <c r="T233" s="1" t="s">
        <v>34</v>
      </c>
      <c r="U233" s="1" t="s">
        <v>1213</v>
      </c>
      <c r="V233" s="1" t="s">
        <v>1210</v>
      </c>
      <c r="W233" s="1" t="s">
        <v>1213</v>
      </c>
      <c r="X233" s="1" t="s">
        <v>1213</v>
      </c>
    </row>
    <row r="234" spans="1:24" ht="60" x14ac:dyDescent="0.25">
      <c r="A234" s="1" t="s">
        <v>183</v>
      </c>
      <c r="B234" s="2" t="s">
        <v>184</v>
      </c>
      <c r="C234" s="2" t="s">
        <v>185</v>
      </c>
      <c r="D234" s="2" t="s">
        <v>732</v>
      </c>
      <c r="E234" s="2" t="s">
        <v>48</v>
      </c>
      <c r="F234" s="3">
        <v>5307867867</v>
      </c>
      <c r="G234" s="4" t="s">
        <v>48</v>
      </c>
      <c r="H234" s="1" t="s">
        <v>34</v>
      </c>
      <c r="I234" s="1">
        <v>1043956</v>
      </c>
      <c r="J234" s="1" t="s">
        <v>48</v>
      </c>
      <c r="K234" s="1" t="s">
        <v>35</v>
      </c>
      <c r="L234" s="1" t="s">
        <v>961</v>
      </c>
      <c r="M234" s="1" t="s">
        <v>2</v>
      </c>
      <c r="N234" s="1" t="s">
        <v>3</v>
      </c>
      <c r="O234" s="1" t="s">
        <v>0</v>
      </c>
      <c r="P234" s="1" t="s">
        <v>1</v>
      </c>
      <c r="Q234" s="1" t="s">
        <v>34</v>
      </c>
      <c r="R234" s="1" t="s">
        <v>34</v>
      </c>
      <c r="S234" s="1" t="s">
        <v>34</v>
      </c>
      <c r="T234" s="1" t="s">
        <v>34</v>
      </c>
      <c r="U234" s="1" t="s">
        <v>186</v>
      </c>
      <c r="V234" s="1" t="s">
        <v>1210</v>
      </c>
      <c r="W234" s="1" t="s">
        <v>1222</v>
      </c>
      <c r="X234" s="1" t="s">
        <v>1223</v>
      </c>
    </row>
    <row r="235" spans="1:24" ht="30" x14ac:dyDescent="0.25">
      <c r="A235" s="1" t="s">
        <v>370</v>
      </c>
      <c r="B235" s="2" t="s">
        <v>1061</v>
      </c>
      <c r="C235" s="2" t="s">
        <v>371</v>
      </c>
      <c r="D235" s="2" t="s">
        <v>48</v>
      </c>
      <c r="E235" s="2" t="s">
        <v>48</v>
      </c>
      <c r="F235" s="3">
        <v>9494505846</v>
      </c>
      <c r="G235" s="4" t="s">
        <v>48</v>
      </c>
      <c r="H235" s="1" t="s">
        <v>34</v>
      </c>
      <c r="I235" s="1">
        <v>1001133</v>
      </c>
      <c r="J235" s="1" t="s">
        <v>48</v>
      </c>
      <c r="K235" s="1" t="s">
        <v>35</v>
      </c>
      <c r="L235" s="1" t="s">
        <v>961</v>
      </c>
      <c r="M235" s="1" t="s">
        <v>2</v>
      </c>
      <c r="N235" s="1" t="s">
        <v>3</v>
      </c>
      <c r="O235" s="1" t="s">
        <v>0</v>
      </c>
      <c r="P235" s="1" t="s">
        <v>1</v>
      </c>
      <c r="Q235" s="1" t="s">
        <v>34</v>
      </c>
      <c r="R235" s="1" t="s">
        <v>36</v>
      </c>
      <c r="S235" s="1" t="s">
        <v>34</v>
      </c>
      <c r="T235" s="1" t="s">
        <v>34</v>
      </c>
      <c r="U235" s="1" t="s">
        <v>372</v>
      </c>
      <c r="V235" s="1" t="s">
        <v>1210</v>
      </c>
      <c r="W235" s="1" t="s">
        <v>1213</v>
      </c>
      <c r="X235" s="1" t="s">
        <v>373</v>
      </c>
    </row>
    <row r="236" spans="1:24" ht="45" x14ac:dyDescent="0.25">
      <c r="A236" s="1" t="s">
        <v>913</v>
      </c>
      <c r="B236" s="5" t="s">
        <v>912</v>
      </c>
      <c r="C236" s="2" t="s">
        <v>750</v>
      </c>
      <c r="D236" s="2" t="s">
        <v>48</v>
      </c>
      <c r="E236" s="2" t="s">
        <v>48</v>
      </c>
      <c r="F236" s="3">
        <v>7076231464</v>
      </c>
      <c r="G236" s="4" t="s">
        <v>48</v>
      </c>
      <c r="H236" s="1" t="s">
        <v>34</v>
      </c>
      <c r="I236" s="1">
        <v>338647</v>
      </c>
      <c r="J236" s="1" t="s">
        <v>48</v>
      </c>
      <c r="K236" s="1" t="s">
        <v>35</v>
      </c>
      <c r="L236" s="1" t="s">
        <v>961</v>
      </c>
      <c r="M236" s="1" t="s">
        <v>2</v>
      </c>
      <c r="N236" s="1" t="s">
        <v>3</v>
      </c>
      <c r="O236" s="1" t="s">
        <v>0</v>
      </c>
      <c r="P236" s="1" t="s">
        <v>1</v>
      </c>
      <c r="Q236" s="1" t="s">
        <v>34</v>
      </c>
      <c r="R236" s="1" t="s">
        <v>36</v>
      </c>
      <c r="S236" s="1" t="s">
        <v>36</v>
      </c>
      <c r="T236" s="1" t="s">
        <v>36</v>
      </c>
      <c r="U236" s="1" t="s">
        <v>1213</v>
      </c>
      <c r="V236" s="1" t="s">
        <v>1210</v>
      </c>
      <c r="W236" s="1" t="s">
        <v>1213</v>
      </c>
      <c r="X236" s="1" t="s">
        <v>1062</v>
      </c>
    </row>
    <row r="237" spans="1:24" ht="30" x14ac:dyDescent="0.25">
      <c r="A237" s="1" t="s">
        <v>163</v>
      </c>
      <c r="B237" s="2" t="s">
        <v>164</v>
      </c>
      <c r="C237" s="2" t="s">
        <v>165</v>
      </c>
      <c r="D237" s="2" t="s">
        <v>48</v>
      </c>
      <c r="E237" s="2" t="s">
        <v>48</v>
      </c>
      <c r="F237" s="3">
        <v>4158836800</v>
      </c>
      <c r="G237" s="4" t="s">
        <v>48</v>
      </c>
      <c r="H237" s="1" t="s">
        <v>34</v>
      </c>
      <c r="I237" s="1">
        <v>940158</v>
      </c>
      <c r="J237" s="1" t="s">
        <v>48</v>
      </c>
      <c r="K237" s="1" t="s">
        <v>35</v>
      </c>
      <c r="L237" s="1" t="s">
        <v>961</v>
      </c>
      <c r="M237" s="1" t="s">
        <v>2</v>
      </c>
      <c r="N237" s="1" t="s">
        <v>3</v>
      </c>
      <c r="O237" s="1" t="s">
        <v>0</v>
      </c>
      <c r="Q237" s="1" t="s">
        <v>34</v>
      </c>
      <c r="R237" s="1" t="s">
        <v>36</v>
      </c>
      <c r="S237" s="1" t="s">
        <v>36</v>
      </c>
      <c r="T237" s="1" t="s">
        <v>36</v>
      </c>
      <c r="U237" s="1" t="s">
        <v>1213</v>
      </c>
      <c r="V237" s="1" t="s">
        <v>1210</v>
      </c>
      <c r="W237" s="1" t="s">
        <v>1213</v>
      </c>
      <c r="X237" s="1" t="s">
        <v>166</v>
      </c>
    </row>
    <row r="238" spans="1:24" ht="30" x14ac:dyDescent="0.25">
      <c r="A238" s="1" t="s">
        <v>877</v>
      </c>
      <c r="B238" s="2" t="s">
        <v>648</v>
      </c>
      <c r="C238" s="2" t="s">
        <v>649</v>
      </c>
      <c r="D238" s="2" t="s">
        <v>48</v>
      </c>
      <c r="E238" s="2" t="s">
        <v>48</v>
      </c>
      <c r="F238" s="3">
        <v>9164969678</v>
      </c>
      <c r="G238" s="4" t="s">
        <v>48</v>
      </c>
      <c r="H238" s="1" t="s">
        <v>34</v>
      </c>
      <c r="I238" s="1">
        <v>441690</v>
      </c>
      <c r="J238" s="1" t="s">
        <v>48</v>
      </c>
      <c r="K238" s="1" t="s">
        <v>35</v>
      </c>
      <c r="L238" s="1" t="s">
        <v>961</v>
      </c>
      <c r="M238" s="1" t="s">
        <v>2</v>
      </c>
      <c r="N238" s="1" t="s">
        <v>3</v>
      </c>
      <c r="O238" s="1" t="s">
        <v>0</v>
      </c>
      <c r="P238" s="1" t="s">
        <v>1</v>
      </c>
      <c r="Q238" s="1" t="s">
        <v>34</v>
      </c>
      <c r="R238" s="1" t="s">
        <v>34</v>
      </c>
      <c r="S238" s="1" t="s">
        <v>34</v>
      </c>
      <c r="T238" s="1" t="s">
        <v>34</v>
      </c>
      <c r="U238" s="1" t="s">
        <v>982</v>
      </c>
      <c r="V238" s="1" t="s">
        <v>34</v>
      </c>
      <c r="W238" s="1" t="s">
        <v>651</v>
      </c>
      <c r="X238" s="1" t="s">
        <v>650</v>
      </c>
    </row>
    <row r="239" spans="1:24" ht="30" x14ac:dyDescent="0.25">
      <c r="A239" s="1" t="s">
        <v>49</v>
      </c>
      <c r="B239" s="2" t="s">
        <v>50</v>
      </c>
      <c r="C239" s="2" t="s">
        <v>483</v>
      </c>
      <c r="D239" s="2" t="s">
        <v>51</v>
      </c>
      <c r="E239" s="2" t="s">
        <v>48</v>
      </c>
      <c r="F239" s="3">
        <v>5302734422</v>
      </c>
      <c r="G239" s="4" t="s">
        <v>48</v>
      </c>
      <c r="H239" s="1" t="s">
        <v>34</v>
      </c>
      <c r="I239" s="1">
        <v>868816</v>
      </c>
      <c r="J239" s="1" t="s">
        <v>48</v>
      </c>
      <c r="K239" s="1" t="s">
        <v>35</v>
      </c>
      <c r="L239" s="1" t="s">
        <v>961</v>
      </c>
      <c r="M239" s="1" t="s">
        <v>2</v>
      </c>
      <c r="N239" s="1" t="s">
        <v>3</v>
      </c>
      <c r="O239" s="1" t="s">
        <v>0</v>
      </c>
      <c r="Q239" s="1" t="s">
        <v>34</v>
      </c>
      <c r="R239" s="1" t="s">
        <v>34</v>
      </c>
      <c r="S239" s="1" t="s">
        <v>34</v>
      </c>
      <c r="T239" s="1" t="s">
        <v>36</v>
      </c>
      <c r="U239" s="1" t="s">
        <v>1213</v>
      </c>
      <c r="V239" s="1" t="s">
        <v>1210</v>
      </c>
      <c r="W239" s="1" t="s">
        <v>1213</v>
      </c>
      <c r="X239" s="1" t="s">
        <v>1213</v>
      </c>
    </row>
    <row r="240" spans="1:24" ht="75" x14ac:dyDescent="0.25">
      <c r="A240" s="1" t="s">
        <v>544</v>
      </c>
      <c r="B240" s="5" t="s">
        <v>1224</v>
      </c>
      <c r="C240" s="2" t="s">
        <v>545</v>
      </c>
      <c r="D240" s="2" t="s">
        <v>48</v>
      </c>
      <c r="E240" s="2" t="s">
        <v>48</v>
      </c>
      <c r="F240" s="3">
        <v>5105231122</v>
      </c>
      <c r="G240" s="4" t="s">
        <v>48</v>
      </c>
      <c r="H240" s="1" t="s">
        <v>34</v>
      </c>
      <c r="I240" s="1">
        <v>772329</v>
      </c>
      <c r="J240" s="1" t="s">
        <v>48</v>
      </c>
      <c r="K240" s="1" t="s">
        <v>35</v>
      </c>
      <c r="L240" s="1" t="s">
        <v>961</v>
      </c>
      <c r="M240" s="1" t="s">
        <v>2</v>
      </c>
      <c r="O240" s="1" t="s">
        <v>0</v>
      </c>
      <c r="Q240" s="1" t="s">
        <v>34</v>
      </c>
      <c r="R240" s="1" t="s">
        <v>34</v>
      </c>
      <c r="S240" s="1" t="s">
        <v>34</v>
      </c>
      <c r="T240" s="1" t="s">
        <v>34</v>
      </c>
      <c r="U240" s="1" t="s">
        <v>1203</v>
      </c>
      <c r="V240" s="1" t="s">
        <v>34</v>
      </c>
      <c r="W240" s="1" t="s">
        <v>1192</v>
      </c>
      <c r="X240" s="1" t="s">
        <v>1100</v>
      </c>
    </row>
    <row r="241" spans="1:24" ht="105" x14ac:dyDescent="0.25">
      <c r="A241" s="1" t="s">
        <v>952</v>
      </c>
      <c r="B241" s="2" t="s">
        <v>838</v>
      </c>
      <c r="C241" s="2" t="s">
        <v>839</v>
      </c>
      <c r="D241" s="2" t="s">
        <v>48</v>
      </c>
      <c r="E241" s="2" t="s">
        <v>48</v>
      </c>
      <c r="F241" s="3">
        <v>6195376914</v>
      </c>
      <c r="G241" s="4" t="s">
        <v>48</v>
      </c>
      <c r="H241" s="1" t="s">
        <v>34</v>
      </c>
      <c r="I241" s="1">
        <v>992442</v>
      </c>
      <c r="J241" s="1" t="s">
        <v>48</v>
      </c>
      <c r="L241" s="1" t="s">
        <v>44</v>
      </c>
      <c r="N241" s="1" t="s">
        <v>3</v>
      </c>
      <c r="Q241" s="1" t="s">
        <v>34</v>
      </c>
      <c r="R241" s="1" t="s">
        <v>34</v>
      </c>
      <c r="S241" s="1" t="s">
        <v>34</v>
      </c>
      <c r="T241" s="1" t="s">
        <v>36</v>
      </c>
      <c r="U241" s="1" t="s">
        <v>1213</v>
      </c>
      <c r="V241" s="1" t="s">
        <v>1210</v>
      </c>
      <c r="W241" s="1" t="s">
        <v>1213</v>
      </c>
      <c r="X241" s="1" t="s">
        <v>1101</v>
      </c>
    </row>
    <row r="242" spans="1:24" ht="390" x14ac:dyDescent="0.25">
      <c r="A242" s="1" t="s">
        <v>856</v>
      </c>
      <c r="B242" s="2" t="s">
        <v>591</v>
      </c>
      <c r="C242" s="2" t="s">
        <v>592</v>
      </c>
      <c r="D242" s="2" t="s">
        <v>48</v>
      </c>
      <c r="E242" s="2" t="s">
        <v>48</v>
      </c>
      <c r="F242" s="3">
        <v>3103400493</v>
      </c>
      <c r="G242" s="4" t="s">
        <v>48</v>
      </c>
      <c r="H242" s="1" t="s">
        <v>34</v>
      </c>
      <c r="I242" s="1">
        <v>1021183</v>
      </c>
      <c r="J242" s="1" t="s">
        <v>48</v>
      </c>
      <c r="L242" s="1" t="s">
        <v>44</v>
      </c>
      <c r="N242" s="1" t="s">
        <v>3</v>
      </c>
      <c r="Q242" s="1" t="s">
        <v>34</v>
      </c>
      <c r="R242" s="1" t="s">
        <v>34</v>
      </c>
      <c r="S242" s="1" t="s">
        <v>34</v>
      </c>
      <c r="T242" s="1" t="s">
        <v>34</v>
      </c>
      <c r="U242" s="1" t="s">
        <v>1204</v>
      </c>
      <c r="V242" s="1" t="s">
        <v>34</v>
      </c>
      <c r="W242" s="1" t="s">
        <v>1193</v>
      </c>
      <c r="X242" s="1" t="s">
        <v>1102</v>
      </c>
    </row>
    <row r="243" spans="1:24" ht="45" x14ac:dyDescent="0.25">
      <c r="A243" s="1" t="s">
        <v>118</v>
      </c>
      <c r="B243" s="2" t="s">
        <v>119</v>
      </c>
      <c r="C243" s="2" t="s">
        <v>120</v>
      </c>
      <c r="D243" s="2" t="s">
        <v>48</v>
      </c>
      <c r="E243" s="2" t="s">
        <v>48</v>
      </c>
      <c r="F243" s="3">
        <v>4153428123</v>
      </c>
      <c r="G243" s="4" t="s">
        <v>48</v>
      </c>
      <c r="H243" s="1" t="s">
        <v>34</v>
      </c>
      <c r="I243" s="1">
        <v>835131</v>
      </c>
      <c r="J243" s="1" t="s">
        <v>48</v>
      </c>
      <c r="K243" s="1" t="s">
        <v>35</v>
      </c>
      <c r="M243" s="1" t="s">
        <v>2</v>
      </c>
      <c r="N243" s="1" t="s">
        <v>3</v>
      </c>
      <c r="O243" s="1" t="s">
        <v>0</v>
      </c>
      <c r="P243" s="1" t="s">
        <v>1</v>
      </c>
      <c r="Q243" s="1" t="s">
        <v>34</v>
      </c>
      <c r="R243" s="1" t="s">
        <v>34</v>
      </c>
      <c r="S243" s="1" t="s">
        <v>34</v>
      </c>
      <c r="T243" s="1" t="s">
        <v>36</v>
      </c>
      <c r="U243" s="1" t="s">
        <v>1213</v>
      </c>
      <c r="V243" s="1" t="s">
        <v>34</v>
      </c>
      <c r="W243" s="1" t="s">
        <v>121</v>
      </c>
      <c r="X243" s="1" t="s">
        <v>1103</v>
      </c>
    </row>
    <row r="244" spans="1:24" ht="30" x14ac:dyDescent="0.25">
      <c r="A244" s="1" t="s">
        <v>1227</v>
      </c>
      <c r="B244" s="2" t="s">
        <v>1228</v>
      </c>
      <c r="C244" s="2" t="s">
        <v>689</v>
      </c>
      <c r="D244" s="2" t="s">
        <v>48</v>
      </c>
      <c r="E244" s="2" t="s">
        <v>48</v>
      </c>
      <c r="F244" s="3">
        <v>7605196541</v>
      </c>
      <c r="G244" s="4" t="s">
        <v>48</v>
      </c>
      <c r="H244" s="1" t="s">
        <v>34</v>
      </c>
      <c r="I244" s="1">
        <v>992154</v>
      </c>
      <c r="J244" s="1" t="s">
        <v>48</v>
      </c>
      <c r="K244" s="1" t="s">
        <v>35</v>
      </c>
      <c r="L244" s="1" t="s">
        <v>961</v>
      </c>
      <c r="M244" s="1" t="s">
        <v>2</v>
      </c>
      <c r="N244" s="1" t="s">
        <v>3</v>
      </c>
      <c r="O244" s="1" t="s">
        <v>0</v>
      </c>
      <c r="Q244" s="1" t="s">
        <v>36</v>
      </c>
      <c r="R244" s="1" t="s">
        <v>36</v>
      </c>
      <c r="S244" s="1" t="s">
        <v>36</v>
      </c>
      <c r="T244" s="1" t="s">
        <v>36</v>
      </c>
      <c r="U244" s="1" t="s">
        <v>1213</v>
      </c>
      <c r="V244" s="1" t="s">
        <v>1210</v>
      </c>
      <c r="W244" s="1" t="s">
        <v>1213</v>
      </c>
      <c r="X244" s="1" t="s">
        <v>1069</v>
      </c>
    </row>
    <row r="245" spans="1:24" ht="45" x14ac:dyDescent="0.25">
      <c r="A245" s="1" t="s">
        <v>513</v>
      </c>
      <c r="B245" s="2" t="s">
        <v>514</v>
      </c>
      <c r="C245" s="2" t="s">
        <v>515</v>
      </c>
      <c r="D245" s="2" t="s">
        <v>48</v>
      </c>
      <c r="E245" s="2" t="s">
        <v>48</v>
      </c>
      <c r="F245" s="3">
        <v>8664479637</v>
      </c>
      <c r="G245" s="4" t="s">
        <v>48</v>
      </c>
      <c r="H245" s="1" t="s">
        <v>34</v>
      </c>
      <c r="I245" s="1">
        <v>1025715</v>
      </c>
      <c r="J245" s="1" t="s">
        <v>48</v>
      </c>
      <c r="K245" s="1" t="s">
        <v>35</v>
      </c>
      <c r="L245" s="1" t="s">
        <v>961</v>
      </c>
      <c r="M245" s="1" t="s">
        <v>2</v>
      </c>
      <c r="N245" s="1" t="s">
        <v>3</v>
      </c>
      <c r="O245" s="1" t="s">
        <v>0</v>
      </c>
      <c r="Q245" s="1" t="s">
        <v>34</v>
      </c>
      <c r="R245" s="1" t="s">
        <v>34</v>
      </c>
      <c r="S245" s="1" t="s">
        <v>34</v>
      </c>
      <c r="T245" s="1" t="s">
        <v>34</v>
      </c>
      <c r="U245" s="1" t="s">
        <v>516</v>
      </c>
      <c r="V245" s="1" t="s">
        <v>34</v>
      </c>
      <c r="W245" s="1" t="s">
        <v>518</v>
      </c>
      <c r="X245" s="1" t="s">
        <v>517</v>
      </c>
    </row>
    <row r="246" spans="1:24" ht="30" x14ac:dyDescent="0.25">
      <c r="A246" s="1" t="s">
        <v>408</v>
      </c>
      <c r="B246" s="2" t="s">
        <v>409</v>
      </c>
      <c r="C246" s="2" t="s">
        <v>410</v>
      </c>
      <c r="D246" s="2" t="s">
        <v>48</v>
      </c>
      <c r="E246" s="2" t="s">
        <v>48</v>
      </c>
      <c r="F246" s="3">
        <v>7078238003</v>
      </c>
      <c r="G246" s="4" t="s">
        <v>48</v>
      </c>
      <c r="H246" s="1" t="s">
        <v>34</v>
      </c>
      <c r="I246" s="1">
        <v>913951</v>
      </c>
      <c r="J246" s="1" t="s">
        <v>48</v>
      </c>
      <c r="L246" s="1" t="s">
        <v>44</v>
      </c>
      <c r="N246" s="1" t="s">
        <v>3</v>
      </c>
      <c r="Q246" s="1" t="s">
        <v>34</v>
      </c>
      <c r="R246" s="1" t="s">
        <v>34</v>
      </c>
      <c r="S246" s="1" t="s">
        <v>34</v>
      </c>
      <c r="T246" s="1" t="s">
        <v>36</v>
      </c>
      <c r="U246" s="1" t="s">
        <v>1213</v>
      </c>
      <c r="V246" s="1" t="s">
        <v>34</v>
      </c>
      <c r="W246" s="1" t="s">
        <v>412</v>
      </c>
      <c r="X246" s="1" t="s">
        <v>411</v>
      </c>
    </row>
    <row r="247" spans="1:24" ht="30" x14ac:dyDescent="0.25">
      <c r="A247" s="1" t="s">
        <v>436</v>
      </c>
      <c r="B247" s="2" t="s">
        <v>437</v>
      </c>
      <c r="C247" s="2" t="s">
        <v>438</v>
      </c>
      <c r="D247" s="2" t="s">
        <v>48</v>
      </c>
      <c r="E247" s="2" t="s">
        <v>48</v>
      </c>
      <c r="F247" s="3">
        <v>7074946008</v>
      </c>
      <c r="G247" s="4" t="s">
        <v>48</v>
      </c>
      <c r="H247" s="1" t="s">
        <v>34</v>
      </c>
      <c r="I247" s="1">
        <v>975545</v>
      </c>
      <c r="J247" s="1" t="s">
        <v>48</v>
      </c>
      <c r="K247" s="1" t="s">
        <v>35</v>
      </c>
      <c r="O247" s="1" t="s">
        <v>0</v>
      </c>
      <c r="P247" s="1" t="s">
        <v>1</v>
      </c>
      <c r="Q247" s="1" t="s">
        <v>34</v>
      </c>
      <c r="R247" s="1" t="s">
        <v>34</v>
      </c>
      <c r="S247" s="1" t="s">
        <v>36</v>
      </c>
      <c r="T247" s="1" t="s">
        <v>36</v>
      </c>
      <c r="U247" s="1" t="s">
        <v>1213</v>
      </c>
      <c r="V247" s="1" t="s">
        <v>1210</v>
      </c>
      <c r="W247" s="1" t="s">
        <v>1213</v>
      </c>
      <c r="X247" s="1" t="s">
        <v>1104</v>
      </c>
    </row>
    <row r="248" spans="1:24" ht="30" x14ac:dyDescent="0.25">
      <c r="A248" s="1" t="s">
        <v>870</v>
      </c>
      <c r="B248" s="2" t="s">
        <v>633</v>
      </c>
      <c r="C248" s="2" t="s">
        <v>634</v>
      </c>
      <c r="D248" s="2" t="s">
        <v>70</v>
      </c>
      <c r="E248" s="2" t="s">
        <v>48</v>
      </c>
      <c r="F248" s="3">
        <v>8007018073</v>
      </c>
      <c r="G248" s="3">
        <v>3108490200</v>
      </c>
      <c r="H248" s="1" t="s">
        <v>34</v>
      </c>
      <c r="I248" s="1">
        <v>996593</v>
      </c>
      <c r="J248" s="1" t="s">
        <v>48</v>
      </c>
      <c r="K248" s="1" t="s">
        <v>35</v>
      </c>
      <c r="L248" s="1" t="s">
        <v>961</v>
      </c>
      <c r="M248" s="1" t="s">
        <v>2</v>
      </c>
      <c r="N248" s="1" t="s">
        <v>3</v>
      </c>
      <c r="O248" s="1" t="s">
        <v>0</v>
      </c>
      <c r="Q248" s="1" t="s">
        <v>34</v>
      </c>
      <c r="R248" s="1" t="s">
        <v>34</v>
      </c>
      <c r="S248" s="1" t="s">
        <v>34</v>
      </c>
      <c r="T248" s="1" t="s">
        <v>36</v>
      </c>
      <c r="U248" s="1" t="s">
        <v>1213</v>
      </c>
      <c r="V248" s="1" t="s">
        <v>1210</v>
      </c>
      <c r="W248" s="1" t="s">
        <v>1213</v>
      </c>
      <c r="X248" s="1" t="s">
        <v>1213</v>
      </c>
    </row>
    <row r="249" spans="1:24" ht="195" x14ac:dyDescent="0.25">
      <c r="A249" s="1" t="s">
        <v>460</v>
      </c>
      <c r="B249" s="2" t="s">
        <v>460</v>
      </c>
      <c r="C249" s="2" t="s">
        <v>461</v>
      </c>
      <c r="D249" s="2" t="s">
        <v>48</v>
      </c>
      <c r="E249" s="2" t="s">
        <v>48</v>
      </c>
      <c r="F249" s="3">
        <v>8184810341</v>
      </c>
      <c r="G249" s="4" t="s">
        <v>48</v>
      </c>
      <c r="H249" s="1" t="s">
        <v>34</v>
      </c>
      <c r="I249" s="1">
        <v>1041599</v>
      </c>
      <c r="J249" s="1" t="s">
        <v>48</v>
      </c>
      <c r="K249" s="1" t="s">
        <v>35</v>
      </c>
      <c r="M249" s="1" t="s">
        <v>2</v>
      </c>
      <c r="N249" s="1" t="s">
        <v>3</v>
      </c>
      <c r="O249" s="1" t="s">
        <v>0</v>
      </c>
      <c r="P249" s="1" t="s">
        <v>1</v>
      </c>
      <c r="Q249" s="1" t="s">
        <v>36</v>
      </c>
      <c r="R249" s="1" t="s">
        <v>34</v>
      </c>
      <c r="S249" s="1" t="s">
        <v>34</v>
      </c>
      <c r="T249" s="1" t="s">
        <v>34</v>
      </c>
      <c r="U249" s="1" t="s">
        <v>462</v>
      </c>
      <c r="V249" s="1" t="s">
        <v>34</v>
      </c>
      <c r="W249" s="1" t="s">
        <v>1194</v>
      </c>
      <c r="X249" s="1" t="s">
        <v>1113</v>
      </c>
    </row>
    <row r="250" spans="1:24" ht="105" x14ac:dyDescent="0.25">
      <c r="A250" s="1" t="s">
        <v>937</v>
      </c>
      <c r="B250" s="2" t="s">
        <v>802</v>
      </c>
      <c r="C250" s="2" t="s">
        <v>803</v>
      </c>
      <c r="D250" s="2" t="s">
        <v>48</v>
      </c>
      <c r="E250" s="2" t="s">
        <v>48</v>
      </c>
      <c r="F250" s="3">
        <v>5597610732</v>
      </c>
      <c r="G250" s="4" t="s">
        <v>48</v>
      </c>
      <c r="H250" s="1" t="s">
        <v>34</v>
      </c>
      <c r="I250" s="1">
        <v>853740</v>
      </c>
      <c r="J250" s="1" t="s">
        <v>48</v>
      </c>
      <c r="K250" s="1" t="s">
        <v>35</v>
      </c>
      <c r="L250" s="1" t="s">
        <v>961</v>
      </c>
      <c r="M250" s="1" t="s">
        <v>2</v>
      </c>
      <c r="N250" s="1" t="s">
        <v>3</v>
      </c>
      <c r="O250" s="1" t="s">
        <v>0</v>
      </c>
      <c r="Q250" s="1" t="s">
        <v>34</v>
      </c>
      <c r="R250" s="1" t="s">
        <v>34</v>
      </c>
      <c r="S250" s="1" t="s">
        <v>34</v>
      </c>
      <c r="T250" s="1" t="s">
        <v>34</v>
      </c>
      <c r="U250" s="1" t="s">
        <v>804</v>
      </c>
      <c r="V250" s="1" t="s">
        <v>34</v>
      </c>
      <c r="W250" s="1" t="s">
        <v>1064</v>
      </c>
      <c r="X250" s="1" t="s">
        <v>1063</v>
      </c>
    </row>
    <row r="251" spans="1:24" ht="90" x14ac:dyDescent="0.25">
      <c r="A251" s="1" t="s">
        <v>80</v>
      </c>
      <c r="B251" s="2" t="s">
        <v>81</v>
      </c>
      <c r="C251" s="2" t="s">
        <v>82</v>
      </c>
      <c r="D251" s="2" t="s">
        <v>48</v>
      </c>
      <c r="E251" s="2" t="s">
        <v>48</v>
      </c>
      <c r="F251" s="3">
        <v>4158710395</v>
      </c>
      <c r="G251" s="4" t="s">
        <v>48</v>
      </c>
      <c r="H251" s="1" t="s">
        <v>34</v>
      </c>
      <c r="I251" s="1">
        <v>971231</v>
      </c>
      <c r="J251" s="1" t="s">
        <v>48</v>
      </c>
      <c r="K251" s="1" t="s">
        <v>35</v>
      </c>
      <c r="L251" s="1" t="s">
        <v>961</v>
      </c>
      <c r="O251" s="1" t="s">
        <v>0</v>
      </c>
      <c r="Q251" s="1" t="s">
        <v>34</v>
      </c>
      <c r="R251" s="1" t="s">
        <v>34</v>
      </c>
      <c r="S251" s="1" t="s">
        <v>34</v>
      </c>
      <c r="T251" s="1" t="s">
        <v>36</v>
      </c>
      <c r="U251" s="1" t="s">
        <v>1213</v>
      </c>
      <c r="V251" s="1" t="s">
        <v>34</v>
      </c>
      <c r="W251" s="1" t="s">
        <v>1195</v>
      </c>
      <c r="X251" s="1" t="s">
        <v>1105</v>
      </c>
    </row>
    <row r="252" spans="1:24" ht="150" x14ac:dyDescent="0.25">
      <c r="A252" s="1" t="s">
        <v>175</v>
      </c>
      <c r="B252" s="2" t="s">
        <v>664</v>
      </c>
      <c r="C252" s="2" t="s">
        <v>665</v>
      </c>
      <c r="D252" s="2" t="s">
        <v>176</v>
      </c>
      <c r="E252" s="2" t="s">
        <v>48</v>
      </c>
      <c r="F252" s="3">
        <v>8448376937</v>
      </c>
      <c r="G252" s="4" t="s">
        <v>48</v>
      </c>
      <c r="H252" s="1" t="s">
        <v>34</v>
      </c>
      <c r="I252" s="1">
        <v>1000573</v>
      </c>
      <c r="J252" s="1" t="s">
        <v>48</v>
      </c>
      <c r="K252" s="1" t="s">
        <v>35</v>
      </c>
      <c r="L252" s="1" t="s">
        <v>961</v>
      </c>
      <c r="M252" s="1" t="s">
        <v>2</v>
      </c>
      <c r="N252" s="1" t="s">
        <v>3</v>
      </c>
      <c r="O252" s="1" t="s">
        <v>0</v>
      </c>
      <c r="Q252" s="1" t="s">
        <v>34</v>
      </c>
      <c r="R252" s="1" t="s">
        <v>34</v>
      </c>
      <c r="S252" s="1" t="s">
        <v>34</v>
      </c>
      <c r="T252" s="1" t="s">
        <v>36</v>
      </c>
      <c r="U252" s="1" t="s">
        <v>1213</v>
      </c>
      <c r="V252" s="1" t="s">
        <v>34</v>
      </c>
      <c r="W252" s="1" t="s">
        <v>1065</v>
      </c>
      <c r="X252" s="1" t="s">
        <v>1225</v>
      </c>
    </row>
    <row r="253" spans="1:24" ht="30" x14ac:dyDescent="0.25">
      <c r="A253" s="1" t="s">
        <v>884</v>
      </c>
      <c r="B253" s="2" t="s">
        <v>670</v>
      </c>
      <c r="C253" s="2" t="s">
        <v>671</v>
      </c>
      <c r="D253" s="2" t="s">
        <v>48</v>
      </c>
      <c r="E253" s="2" t="s">
        <v>48</v>
      </c>
      <c r="F253" s="3">
        <v>5592772000</v>
      </c>
      <c r="G253" s="4" t="s">
        <v>48</v>
      </c>
      <c r="H253" s="1" t="s">
        <v>34</v>
      </c>
      <c r="I253" s="1">
        <v>464539</v>
      </c>
      <c r="J253" s="1" t="s">
        <v>48</v>
      </c>
      <c r="L253" s="1" t="s">
        <v>44</v>
      </c>
      <c r="N253" s="1" t="s">
        <v>3</v>
      </c>
      <c r="Q253" s="1" t="s">
        <v>1210</v>
      </c>
      <c r="R253" s="1" t="s">
        <v>1210</v>
      </c>
      <c r="S253" s="1" t="s">
        <v>1210</v>
      </c>
      <c r="T253" s="1" t="s">
        <v>36</v>
      </c>
      <c r="U253" s="1" t="s">
        <v>1213</v>
      </c>
      <c r="V253" s="1" t="s">
        <v>1210</v>
      </c>
      <c r="W253" s="1" t="s">
        <v>1213</v>
      </c>
      <c r="X253" s="1" t="s">
        <v>1213</v>
      </c>
    </row>
    <row r="254" spans="1:24" ht="30" x14ac:dyDescent="0.25">
      <c r="A254" s="1" t="s">
        <v>230</v>
      </c>
      <c r="B254" s="2" t="s">
        <v>231</v>
      </c>
      <c r="C254" s="2" t="s">
        <v>232</v>
      </c>
      <c r="D254" s="2" t="s">
        <v>48</v>
      </c>
      <c r="E254" s="2" t="s">
        <v>48</v>
      </c>
      <c r="F254" s="3">
        <v>5306363994</v>
      </c>
      <c r="G254" s="4" t="s">
        <v>48</v>
      </c>
      <c r="H254" s="1" t="s">
        <v>34</v>
      </c>
      <c r="I254" s="1">
        <v>1031280</v>
      </c>
      <c r="J254" s="1" t="s">
        <v>48</v>
      </c>
      <c r="K254" s="1" t="s">
        <v>35</v>
      </c>
      <c r="M254" s="1" t="s">
        <v>2</v>
      </c>
      <c r="N254" s="1" t="s">
        <v>3</v>
      </c>
      <c r="O254" s="1" t="s">
        <v>0</v>
      </c>
      <c r="Q254" s="1" t="s">
        <v>34</v>
      </c>
      <c r="R254" s="1" t="s">
        <v>34</v>
      </c>
      <c r="S254" s="1" t="s">
        <v>34</v>
      </c>
      <c r="T254" s="1" t="s">
        <v>36</v>
      </c>
      <c r="U254" s="1" t="s">
        <v>1213</v>
      </c>
      <c r="V254" s="1" t="s">
        <v>34</v>
      </c>
      <c r="W254" s="1" t="s">
        <v>1066</v>
      </c>
      <c r="X254" s="1" t="s">
        <v>233</v>
      </c>
    </row>
    <row r="255" spans="1:24" ht="30" x14ac:dyDescent="0.25">
      <c r="A255" s="1" t="s">
        <v>45</v>
      </c>
      <c r="B255" s="2" t="s">
        <v>46</v>
      </c>
      <c r="C255" s="2" t="s">
        <v>47</v>
      </c>
      <c r="D255" s="2" t="s">
        <v>48</v>
      </c>
      <c r="E255" s="2" t="s">
        <v>48</v>
      </c>
      <c r="F255" s="3">
        <v>8777466609</v>
      </c>
      <c r="G255" s="4" t="s">
        <v>48</v>
      </c>
      <c r="H255" s="1" t="s">
        <v>34</v>
      </c>
      <c r="I255" s="1">
        <v>973756</v>
      </c>
      <c r="J255" s="1" t="s">
        <v>48</v>
      </c>
      <c r="K255" s="1" t="s">
        <v>35</v>
      </c>
      <c r="M255" s="1" t="s">
        <v>2</v>
      </c>
      <c r="O255" s="1" t="s">
        <v>0</v>
      </c>
      <c r="Q255" s="1" t="s">
        <v>34</v>
      </c>
      <c r="R255" s="1" t="s">
        <v>34</v>
      </c>
      <c r="S255" s="1" t="s">
        <v>34</v>
      </c>
      <c r="T255" s="1" t="s">
        <v>36</v>
      </c>
      <c r="U255" s="1" t="s">
        <v>1213</v>
      </c>
      <c r="V255" s="1" t="s">
        <v>1210</v>
      </c>
      <c r="W255" s="1" t="s">
        <v>1213</v>
      </c>
      <c r="X255" s="1" t="s">
        <v>1213</v>
      </c>
    </row>
    <row r="256" spans="1:24" ht="30" x14ac:dyDescent="0.25">
      <c r="A256" s="1" t="s">
        <v>301</v>
      </c>
      <c r="B256" s="2" t="s">
        <v>302</v>
      </c>
      <c r="C256" s="2" t="s">
        <v>303</v>
      </c>
      <c r="D256" s="2" t="s">
        <v>48</v>
      </c>
      <c r="E256" s="2" t="s">
        <v>48</v>
      </c>
      <c r="F256" s="3">
        <v>7142551316</v>
      </c>
      <c r="G256" s="4" t="s">
        <v>48</v>
      </c>
      <c r="H256" s="1" t="s">
        <v>34</v>
      </c>
      <c r="I256" s="1">
        <v>1062357</v>
      </c>
      <c r="J256" s="1" t="s">
        <v>48</v>
      </c>
      <c r="K256" s="1" t="s">
        <v>35</v>
      </c>
      <c r="L256" s="1" t="s">
        <v>961</v>
      </c>
      <c r="M256" s="1" t="s">
        <v>2</v>
      </c>
      <c r="N256" s="1" t="s">
        <v>3</v>
      </c>
      <c r="O256" s="1" t="s">
        <v>0</v>
      </c>
      <c r="P256" s="1" t="s">
        <v>1</v>
      </c>
      <c r="Q256" s="1" t="s">
        <v>1210</v>
      </c>
      <c r="R256" s="1" t="s">
        <v>1210</v>
      </c>
      <c r="S256" s="1" t="s">
        <v>1210</v>
      </c>
      <c r="T256" s="1" t="s">
        <v>34</v>
      </c>
      <c r="U256" s="1" t="s">
        <v>1213</v>
      </c>
      <c r="V256" s="1" t="s">
        <v>1210</v>
      </c>
      <c r="W256" s="1" t="s">
        <v>1213</v>
      </c>
      <c r="X256" s="1" t="s">
        <v>1213</v>
      </c>
    </row>
    <row r="257" spans="1:24" ht="30" x14ac:dyDescent="0.25">
      <c r="A257" s="1" t="s">
        <v>947</v>
      </c>
      <c r="B257" s="2" t="s">
        <v>830</v>
      </c>
      <c r="C257" s="2" t="s">
        <v>831</v>
      </c>
      <c r="D257" s="2" t="s">
        <v>48</v>
      </c>
      <c r="E257" s="2" t="s">
        <v>48</v>
      </c>
      <c r="F257" s="3">
        <v>8318180312</v>
      </c>
      <c r="G257" s="4" t="s">
        <v>48</v>
      </c>
      <c r="H257" s="1" t="s">
        <v>34</v>
      </c>
      <c r="I257" s="1">
        <v>955351</v>
      </c>
      <c r="J257" s="1" t="s">
        <v>48</v>
      </c>
      <c r="K257" s="1" t="s">
        <v>35</v>
      </c>
      <c r="M257" s="1" t="s">
        <v>2</v>
      </c>
      <c r="O257" s="1" t="s">
        <v>0</v>
      </c>
      <c r="Q257" s="1" t="s">
        <v>36</v>
      </c>
      <c r="R257" s="1" t="s">
        <v>34</v>
      </c>
      <c r="S257" s="1" t="s">
        <v>34</v>
      </c>
      <c r="T257" s="1" t="s">
        <v>36</v>
      </c>
      <c r="U257" s="1" t="s">
        <v>1213</v>
      </c>
      <c r="V257" s="1" t="s">
        <v>1210</v>
      </c>
      <c r="W257" s="1" t="s">
        <v>1213</v>
      </c>
      <c r="X257" s="1" t="s">
        <v>1213</v>
      </c>
    </row>
    <row r="258" spans="1:24" ht="60" x14ac:dyDescent="0.25">
      <c r="A258" s="1" t="s">
        <v>1226</v>
      </c>
      <c r="B258" s="2" t="s">
        <v>346</v>
      </c>
      <c r="C258" s="2" t="s">
        <v>347</v>
      </c>
      <c r="D258" s="2" t="s">
        <v>48</v>
      </c>
      <c r="E258" s="2" t="s">
        <v>48</v>
      </c>
      <c r="F258" s="3">
        <v>7074435652</v>
      </c>
      <c r="G258" s="4" t="s">
        <v>48</v>
      </c>
      <c r="H258" s="1" t="s">
        <v>34</v>
      </c>
      <c r="I258" s="1">
        <v>1026026</v>
      </c>
      <c r="J258" s="1" t="s">
        <v>48</v>
      </c>
      <c r="K258" s="1" t="s">
        <v>35</v>
      </c>
      <c r="L258" s="1" t="s">
        <v>961</v>
      </c>
      <c r="M258" s="1" t="s">
        <v>2</v>
      </c>
      <c r="N258" s="1" t="s">
        <v>3</v>
      </c>
      <c r="O258" s="1" t="s">
        <v>0</v>
      </c>
      <c r="Q258" s="1" t="s">
        <v>34</v>
      </c>
      <c r="R258" s="1" t="s">
        <v>34</v>
      </c>
      <c r="S258" s="1" t="s">
        <v>34</v>
      </c>
      <c r="T258" s="1" t="s">
        <v>34</v>
      </c>
      <c r="U258" s="1" t="s">
        <v>348</v>
      </c>
      <c r="V258" s="1" t="s">
        <v>34</v>
      </c>
      <c r="W258" s="1" t="s">
        <v>350</v>
      </c>
      <c r="X258" s="1" t="s">
        <v>349</v>
      </c>
    </row>
    <row r="259" spans="1:24" ht="30" x14ac:dyDescent="0.25">
      <c r="A259" s="1" t="s">
        <v>855</v>
      </c>
      <c r="B259" s="2" t="s">
        <v>575</v>
      </c>
      <c r="C259" s="2" t="s">
        <v>576</v>
      </c>
      <c r="D259" s="2" t="s">
        <v>48</v>
      </c>
      <c r="E259" s="2" t="s">
        <v>48</v>
      </c>
      <c r="F259" s="3">
        <v>9255163900</v>
      </c>
      <c r="G259" s="4" t="s">
        <v>48</v>
      </c>
      <c r="H259" s="1" t="s">
        <v>34</v>
      </c>
      <c r="I259" s="1">
        <v>908549</v>
      </c>
      <c r="J259" s="1" t="s">
        <v>48</v>
      </c>
      <c r="K259" s="1" t="s">
        <v>35</v>
      </c>
      <c r="L259" s="1" t="s">
        <v>961</v>
      </c>
      <c r="M259" s="1" t="s">
        <v>2</v>
      </c>
      <c r="N259" s="1" t="s">
        <v>3</v>
      </c>
      <c r="O259" s="1" t="s">
        <v>0</v>
      </c>
      <c r="P259" s="1" t="s">
        <v>1</v>
      </c>
      <c r="Q259" s="1" t="s">
        <v>34</v>
      </c>
      <c r="R259" s="1" t="s">
        <v>34</v>
      </c>
      <c r="S259" s="1" t="s">
        <v>36</v>
      </c>
      <c r="T259" s="1" t="s">
        <v>36</v>
      </c>
      <c r="U259" s="1" t="s">
        <v>1213</v>
      </c>
      <c r="V259" s="1" t="s">
        <v>1210</v>
      </c>
      <c r="W259" s="1" t="s">
        <v>1213</v>
      </c>
      <c r="X259" s="1" t="s">
        <v>1213</v>
      </c>
    </row>
    <row r="260" spans="1:24" ht="30" x14ac:dyDescent="0.25">
      <c r="A260" s="1" t="s">
        <v>480</v>
      </c>
      <c r="B260" s="2" t="s">
        <v>481</v>
      </c>
      <c r="C260" s="2" t="s">
        <v>482</v>
      </c>
      <c r="D260" s="2" t="s">
        <v>48</v>
      </c>
      <c r="E260" s="2" t="s">
        <v>48</v>
      </c>
      <c r="F260" s="3">
        <v>7076646450</v>
      </c>
      <c r="G260" s="4" t="s">
        <v>48</v>
      </c>
      <c r="H260" s="1" t="s">
        <v>34</v>
      </c>
      <c r="I260" s="1">
        <v>963158</v>
      </c>
      <c r="J260" s="1" t="s">
        <v>48</v>
      </c>
      <c r="K260" s="1" t="s">
        <v>35</v>
      </c>
      <c r="M260" s="1" t="s">
        <v>2</v>
      </c>
      <c r="O260" s="1" t="s">
        <v>0</v>
      </c>
      <c r="Q260" s="1" t="s">
        <v>34</v>
      </c>
      <c r="R260" s="1" t="s">
        <v>34</v>
      </c>
      <c r="S260" s="1" t="s">
        <v>34</v>
      </c>
      <c r="T260" s="1" t="s">
        <v>36</v>
      </c>
      <c r="U260" s="1" t="s">
        <v>1213</v>
      </c>
      <c r="V260" s="1" t="s">
        <v>1210</v>
      </c>
      <c r="W260" s="1" t="s">
        <v>1213</v>
      </c>
      <c r="X260" s="1" t="s">
        <v>1213</v>
      </c>
    </row>
    <row r="261" spans="1:24" ht="30" x14ac:dyDescent="0.25">
      <c r="A261" s="1" t="s">
        <v>315</v>
      </c>
      <c r="B261" s="2" t="s">
        <v>316</v>
      </c>
      <c r="C261" s="2" t="s">
        <v>317</v>
      </c>
      <c r="D261" s="2" t="s">
        <v>48</v>
      </c>
      <c r="E261" s="2" t="s">
        <v>48</v>
      </c>
      <c r="F261" s="3">
        <v>8665754112</v>
      </c>
      <c r="G261" s="4" t="s">
        <v>48</v>
      </c>
      <c r="H261" s="1" t="s">
        <v>34</v>
      </c>
      <c r="I261" s="1">
        <v>965111</v>
      </c>
      <c r="J261" s="1" t="s">
        <v>48</v>
      </c>
      <c r="K261" s="1" t="s">
        <v>35</v>
      </c>
      <c r="M261" s="1" t="s">
        <v>2</v>
      </c>
      <c r="N261" s="1" t="s">
        <v>3</v>
      </c>
      <c r="O261" s="1" t="s">
        <v>0</v>
      </c>
      <c r="P261" s="1" t="s">
        <v>1</v>
      </c>
      <c r="Q261" s="1" t="s">
        <v>34</v>
      </c>
      <c r="R261" s="1" t="s">
        <v>34</v>
      </c>
      <c r="S261" s="1" t="s">
        <v>34</v>
      </c>
      <c r="T261" s="1" t="s">
        <v>34</v>
      </c>
      <c r="U261" s="1" t="s">
        <v>1213</v>
      </c>
      <c r="V261" s="1" t="s">
        <v>1210</v>
      </c>
      <c r="W261" s="1" t="s">
        <v>1213</v>
      </c>
      <c r="X261" s="1" t="s">
        <v>1213</v>
      </c>
    </row>
    <row r="262" spans="1:24" ht="45" x14ac:dyDescent="0.25">
      <c r="A262" s="1" t="s">
        <v>927</v>
      </c>
      <c r="B262" s="2" t="s">
        <v>776</v>
      </c>
      <c r="C262" s="2" t="s">
        <v>777</v>
      </c>
      <c r="D262" s="2" t="s">
        <v>48</v>
      </c>
      <c r="E262" s="2" t="s">
        <v>48</v>
      </c>
      <c r="F262" s="3">
        <v>9258723408</v>
      </c>
      <c r="G262" s="4" t="s">
        <v>48</v>
      </c>
      <c r="H262" s="1" t="s">
        <v>34</v>
      </c>
      <c r="I262" s="1">
        <v>915737</v>
      </c>
      <c r="J262" s="1" t="s">
        <v>48</v>
      </c>
      <c r="K262" s="1" t="s">
        <v>35</v>
      </c>
      <c r="L262" s="1" t="s">
        <v>961</v>
      </c>
      <c r="M262" s="1" t="s">
        <v>2</v>
      </c>
      <c r="N262" s="1" t="s">
        <v>3</v>
      </c>
      <c r="O262" s="1" t="s">
        <v>0</v>
      </c>
      <c r="P262" s="1" t="s">
        <v>1</v>
      </c>
      <c r="Q262" s="1" t="s">
        <v>34</v>
      </c>
      <c r="R262" s="1" t="s">
        <v>36</v>
      </c>
      <c r="S262" s="1" t="s">
        <v>34</v>
      </c>
      <c r="T262" s="1" t="s">
        <v>36</v>
      </c>
      <c r="U262" s="1" t="s">
        <v>1213</v>
      </c>
      <c r="V262" s="1" t="s">
        <v>1210</v>
      </c>
      <c r="W262" s="1" t="s">
        <v>1213</v>
      </c>
      <c r="X262" s="1" t="s">
        <v>1196</v>
      </c>
    </row>
    <row r="263" spans="1:24" ht="30" x14ac:dyDescent="0.25">
      <c r="A263" s="1" t="s">
        <v>344</v>
      </c>
      <c r="B263" s="2" t="s">
        <v>611</v>
      </c>
      <c r="C263" s="2" t="s">
        <v>345</v>
      </c>
      <c r="D263" s="2" t="s">
        <v>48</v>
      </c>
      <c r="E263" s="2" t="s">
        <v>48</v>
      </c>
      <c r="F263" s="3">
        <v>3103768740</v>
      </c>
      <c r="G263" s="4" t="s">
        <v>48</v>
      </c>
      <c r="H263" s="1" t="s">
        <v>34</v>
      </c>
      <c r="I263" s="1">
        <v>992157</v>
      </c>
      <c r="J263" s="1" t="s">
        <v>48</v>
      </c>
      <c r="K263" s="1" t="s">
        <v>35</v>
      </c>
      <c r="L263" s="1" t="s">
        <v>44</v>
      </c>
      <c r="M263" s="1" t="s">
        <v>2</v>
      </c>
      <c r="N263" s="1" t="s">
        <v>3</v>
      </c>
      <c r="O263" s="1" t="s">
        <v>0</v>
      </c>
      <c r="P263" s="1" t="s">
        <v>1</v>
      </c>
      <c r="Q263" s="1" t="s">
        <v>36</v>
      </c>
      <c r="R263" s="1" t="s">
        <v>36</v>
      </c>
      <c r="S263" s="1" t="s">
        <v>34</v>
      </c>
      <c r="T263" s="1" t="s">
        <v>34</v>
      </c>
      <c r="U263" s="1" t="s">
        <v>1213</v>
      </c>
      <c r="V263" s="1" t="s">
        <v>1210</v>
      </c>
      <c r="W263" s="1" t="s">
        <v>1213</v>
      </c>
      <c r="X263" s="1" t="s">
        <v>612</v>
      </c>
    </row>
    <row r="264" spans="1:24" ht="30" x14ac:dyDescent="0.25">
      <c r="A264" s="1" t="s">
        <v>902</v>
      </c>
      <c r="B264" s="2" t="s">
        <v>722</v>
      </c>
      <c r="C264" s="2" t="s">
        <v>723</v>
      </c>
      <c r="D264" s="2" t="s">
        <v>48</v>
      </c>
      <c r="E264" s="2" t="s">
        <v>48</v>
      </c>
      <c r="F264" s="3">
        <v>8557977676</v>
      </c>
      <c r="G264" s="4" t="s">
        <v>48</v>
      </c>
      <c r="H264" s="1" t="s">
        <v>34</v>
      </c>
      <c r="I264" s="1">
        <v>1027116</v>
      </c>
      <c r="J264" s="1" t="s">
        <v>48</v>
      </c>
      <c r="L264" s="1" t="s">
        <v>44</v>
      </c>
      <c r="P264" s="1" t="s">
        <v>1</v>
      </c>
      <c r="Q264" s="1" t="s">
        <v>1210</v>
      </c>
      <c r="R264" s="1" t="s">
        <v>1210</v>
      </c>
      <c r="S264" s="1" t="s">
        <v>1210</v>
      </c>
      <c r="T264" s="1" t="s">
        <v>34</v>
      </c>
      <c r="U264" s="1" t="s">
        <v>1213</v>
      </c>
      <c r="V264" s="1" t="s">
        <v>1210</v>
      </c>
      <c r="W264" s="1" t="s">
        <v>1213</v>
      </c>
      <c r="X264" s="1" t="s">
        <v>1213</v>
      </c>
    </row>
    <row r="265" spans="1:24" ht="45" x14ac:dyDescent="0.25">
      <c r="A265" s="1" t="s">
        <v>944</v>
      </c>
      <c r="B265" s="2" t="s">
        <v>819</v>
      </c>
      <c r="C265" s="2" t="s">
        <v>820</v>
      </c>
      <c r="D265" s="2" t="s">
        <v>48</v>
      </c>
      <c r="E265" s="2" t="s">
        <v>48</v>
      </c>
      <c r="F265" s="3">
        <v>9253809500</v>
      </c>
      <c r="G265" s="4" t="s">
        <v>48</v>
      </c>
      <c r="H265" s="1" t="s">
        <v>34</v>
      </c>
      <c r="I265" s="1">
        <v>928652</v>
      </c>
      <c r="J265" s="1" t="s">
        <v>48</v>
      </c>
      <c r="K265" s="1" t="s">
        <v>35</v>
      </c>
      <c r="M265" s="1" t="s">
        <v>2</v>
      </c>
      <c r="O265" s="1" t="s">
        <v>0</v>
      </c>
      <c r="Q265" s="1" t="s">
        <v>34</v>
      </c>
      <c r="R265" s="1" t="s">
        <v>36</v>
      </c>
      <c r="S265" s="1" t="s">
        <v>34</v>
      </c>
      <c r="T265" s="1" t="s">
        <v>34</v>
      </c>
      <c r="U265" s="1" t="s">
        <v>1197</v>
      </c>
      <c r="V265" s="1" t="s">
        <v>34</v>
      </c>
      <c r="W265" s="1" t="s">
        <v>1206</v>
      </c>
      <c r="X265" s="1" t="s">
        <v>1106</v>
      </c>
    </row>
    <row r="266" spans="1:24" ht="30" x14ac:dyDescent="0.25">
      <c r="A266" s="1" t="s">
        <v>871</v>
      </c>
      <c r="B266" s="2" t="s">
        <v>635</v>
      </c>
      <c r="C266" s="2" t="s">
        <v>636</v>
      </c>
      <c r="D266" s="2" t="s">
        <v>48</v>
      </c>
      <c r="E266" s="2" t="s">
        <v>48</v>
      </c>
      <c r="F266" s="3">
        <v>9168617800</v>
      </c>
      <c r="G266" s="4" t="s">
        <v>48</v>
      </c>
      <c r="H266" s="1" t="s">
        <v>34</v>
      </c>
      <c r="I266" s="1">
        <v>581981</v>
      </c>
      <c r="J266" s="1" t="s">
        <v>48</v>
      </c>
      <c r="K266" s="1" t="s">
        <v>35</v>
      </c>
      <c r="M266" s="1" t="s">
        <v>2</v>
      </c>
      <c r="N266" s="1" t="s">
        <v>3</v>
      </c>
      <c r="O266" s="1" t="s">
        <v>0</v>
      </c>
      <c r="Q266" s="1" t="s">
        <v>36</v>
      </c>
      <c r="R266" s="1" t="s">
        <v>34</v>
      </c>
      <c r="S266" s="1" t="s">
        <v>34</v>
      </c>
      <c r="T266" s="1" t="s">
        <v>34</v>
      </c>
      <c r="U266" s="1" t="s">
        <v>968</v>
      </c>
      <c r="V266" s="1" t="s">
        <v>1210</v>
      </c>
      <c r="W266" s="1" t="s">
        <v>1213</v>
      </c>
      <c r="X266" s="1" t="s">
        <v>1213</v>
      </c>
    </row>
    <row r="267" spans="1:24" ht="75" x14ac:dyDescent="0.25">
      <c r="A267" s="1" t="s">
        <v>885</v>
      </c>
      <c r="B267" s="2" t="s">
        <v>672</v>
      </c>
      <c r="C267" s="2" t="s">
        <v>673</v>
      </c>
      <c r="D267" s="2" t="s">
        <v>48</v>
      </c>
      <c r="E267" s="2" t="s">
        <v>48</v>
      </c>
      <c r="F267" s="3">
        <v>7075443900</v>
      </c>
      <c r="G267" s="4" t="s">
        <v>48</v>
      </c>
      <c r="H267" s="1" t="s">
        <v>34</v>
      </c>
      <c r="I267" s="1">
        <v>820063</v>
      </c>
      <c r="J267" s="1" t="s">
        <v>48</v>
      </c>
      <c r="K267" s="1" t="s">
        <v>35</v>
      </c>
      <c r="L267" s="1" t="s">
        <v>961</v>
      </c>
      <c r="M267" s="1" t="s">
        <v>2</v>
      </c>
      <c r="N267" s="1" t="s">
        <v>3</v>
      </c>
      <c r="O267" s="1" t="s">
        <v>0</v>
      </c>
      <c r="Q267" s="1" t="s">
        <v>34</v>
      </c>
      <c r="R267" s="1" t="s">
        <v>34</v>
      </c>
      <c r="S267" s="1" t="s">
        <v>34</v>
      </c>
      <c r="T267" s="1" t="s">
        <v>36</v>
      </c>
      <c r="U267" s="1" t="s">
        <v>1213</v>
      </c>
      <c r="V267" s="1" t="s">
        <v>34</v>
      </c>
      <c r="W267" s="1" t="s">
        <v>1068</v>
      </c>
      <c r="X267" s="1" t="s">
        <v>1067</v>
      </c>
    </row>
  </sheetData>
  <dataValidations count="1">
    <dataValidation type="list" allowBlank="1" showInputMessage="1" showErrorMessage="1" sqref="A2" xr:uid="{D0967BB9-69BB-411C-952D-73DB70A09E3C}">
      <formula1>$A$7:$A$267</formula1>
    </dataValidation>
  </dataValidations>
  <hyperlinks>
    <hyperlink ref="B123" r:id="rId1" xr:uid="{10BC7B0C-32D5-4046-B1D1-5E37EDD88538}"/>
    <hyperlink ref="B195" r:id="rId2" xr:uid="{B8574E04-68CF-483B-BA2E-B8074DE8F073}"/>
    <hyperlink ref="B144" r:id="rId3" xr:uid="{0A36FF88-6348-4187-A489-389CCE58DE0A}"/>
    <hyperlink ref="B115" r:id="rId4" xr:uid="{18EB4643-28D2-4BF7-8EED-15FB5B89F146}"/>
    <hyperlink ref="B236" r:id="rId5" xr:uid="{AEBC8F68-DBBA-42BF-91DA-96B8C3EBAABD}"/>
    <hyperlink ref="B73" r:id="rId6" xr:uid="{8E4EAAB0-14A8-459C-A610-A72FE1ECAA1C}"/>
    <hyperlink ref="B49" r:id="rId7" xr:uid="{447064A8-8ADA-496E-BEA6-9FB95C7AD8B5}"/>
    <hyperlink ref="B94" r:id="rId8" xr:uid="{93A33794-AF86-416B-91AC-7F4760F60F19}"/>
    <hyperlink ref="B66" r:id="rId9" xr:uid="{8E4B5940-69E5-40BF-A7ED-8E1D2DFC6F63}"/>
    <hyperlink ref="B229" r:id="rId10" xr:uid="{6613F1CF-0DC1-4F23-87FE-77B50573FF33}"/>
    <hyperlink ref="B42" r:id="rId11" xr:uid="{BA7CF70F-9016-470E-BD66-1AC896BB66DD}"/>
    <hyperlink ref="B240" r:id="rId12" xr:uid="{D6A57FF2-1F39-442B-9BD6-188D023082A5}"/>
    <hyperlink ref="B45" r:id="rId13" xr:uid="{FCF4881D-F17E-424F-9E2B-1C624B505F34}"/>
  </hyperlinks>
  <pageMargins left="0.7" right="0.7" top="0.75" bottom="0.75" header="0.3" footer="0.3"/>
  <tableParts count="1">
    <tablePart r:id="rId1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B03E-6400-4E4F-B8C9-6B4669326D91}">
  <dimension ref="A1:X261"/>
  <sheetViews>
    <sheetView workbookViewId="0">
      <pane xSplit="1" ySplit="1" topLeftCell="B210" activePane="bottomRight" state="frozen"/>
      <selection activeCell="A2" sqref="A2"/>
      <selection pane="topRight" activeCell="A2" sqref="A2"/>
      <selection pane="bottomLeft" activeCell="A2" sqref="A2"/>
      <selection pane="bottomRight" activeCell="A211" sqref="A211"/>
    </sheetView>
  </sheetViews>
  <sheetFormatPr defaultRowHeight="50.1" customHeight="1" x14ac:dyDescent="0.25"/>
  <cols>
    <col min="1" max="1" width="37.140625" style="1" bestFit="1" customWidth="1"/>
    <col min="2" max="2" width="68" style="2" bestFit="1" customWidth="1"/>
    <col min="3" max="3" width="45.85546875" style="2" bestFit="1" customWidth="1"/>
    <col min="4" max="4" width="37.85546875" style="2" bestFit="1" customWidth="1"/>
    <col min="5" max="5" width="23.140625" style="2" bestFit="1" customWidth="1"/>
    <col min="6" max="6" width="15" style="3" bestFit="1" customWidth="1"/>
    <col min="7" max="7" width="18.42578125" style="4" bestFit="1" customWidth="1"/>
    <col min="8" max="9" width="12" style="1" customWidth="1"/>
    <col min="10" max="11" width="13.140625" style="1" customWidth="1"/>
    <col min="12" max="12" width="16.42578125" style="1" bestFit="1" customWidth="1"/>
    <col min="13" max="13" width="20.28515625" style="1" bestFit="1" customWidth="1"/>
    <col min="14" max="14" width="20" style="1" bestFit="1" customWidth="1"/>
    <col min="15" max="15" width="13.42578125" style="1" bestFit="1" customWidth="1"/>
    <col min="16" max="16" width="12" style="1" customWidth="1"/>
    <col min="17" max="17" width="16.7109375" style="1" bestFit="1" customWidth="1"/>
    <col min="18" max="18" width="21" style="1" bestFit="1" customWidth="1"/>
    <col min="19" max="19" width="29.42578125" style="1" bestFit="1" customWidth="1"/>
    <col min="20" max="20" width="21.28515625" style="1" bestFit="1" customWidth="1"/>
    <col min="21" max="21" width="68.42578125" style="1" bestFit="1" customWidth="1"/>
    <col min="22" max="22" width="28.140625" style="1" bestFit="1" customWidth="1"/>
    <col min="23" max="23" width="62" style="1" bestFit="1" customWidth="1"/>
    <col min="24" max="24" width="99.140625" style="1" bestFit="1" customWidth="1"/>
    <col min="25" max="16384" width="9.140625" style="2"/>
  </cols>
  <sheetData>
    <row r="1" spans="1:24" ht="50.1" customHeight="1" x14ac:dyDescent="0.25">
      <c r="A1" s="6" t="s">
        <v>847</v>
      </c>
      <c r="B1" s="7" t="s">
        <v>848</v>
      </c>
      <c r="C1" s="7" t="s">
        <v>849</v>
      </c>
      <c r="D1" s="7" t="s">
        <v>1214</v>
      </c>
      <c r="E1" s="7" t="s">
        <v>1220</v>
      </c>
      <c r="F1" s="8" t="s">
        <v>958</v>
      </c>
      <c r="G1" s="8" t="s">
        <v>955</v>
      </c>
      <c r="H1" s="6" t="s">
        <v>844</v>
      </c>
      <c r="I1" s="6" t="s">
        <v>845</v>
      </c>
      <c r="J1" s="13" t="s">
        <v>1217</v>
      </c>
      <c r="K1" s="13" t="s">
        <v>960</v>
      </c>
      <c r="L1" s="14" t="s">
        <v>1298</v>
      </c>
      <c r="M1" s="13" t="s">
        <v>959</v>
      </c>
      <c r="N1" s="14" t="s">
        <v>1299</v>
      </c>
      <c r="O1" s="13" t="s">
        <v>1300</v>
      </c>
      <c r="P1" s="14" t="s">
        <v>1301</v>
      </c>
      <c r="Q1" s="6" t="s">
        <v>1207</v>
      </c>
      <c r="R1" s="6" t="s">
        <v>1211</v>
      </c>
      <c r="S1" s="6" t="s">
        <v>1208</v>
      </c>
      <c r="T1" s="6" t="s">
        <v>1212</v>
      </c>
      <c r="U1" s="6" t="s">
        <v>963</v>
      </c>
      <c r="V1" s="6" t="s">
        <v>1209</v>
      </c>
      <c r="W1" s="6" t="s">
        <v>965</v>
      </c>
      <c r="X1" s="6" t="s">
        <v>964</v>
      </c>
    </row>
    <row r="2" spans="1:24" ht="50.1" customHeight="1" x14ac:dyDescent="0.25">
      <c r="A2" s="1" t="s">
        <v>857</v>
      </c>
      <c r="B2" s="5" t="s">
        <v>1351</v>
      </c>
      <c r="C2" s="2" t="s">
        <v>594</v>
      </c>
      <c r="D2" s="2" t="s">
        <v>48</v>
      </c>
      <c r="E2" s="2" t="s">
        <v>48</v>
      </c>
      <c r="F2" s="3">
        <v>8442923700</v>
      </c>
      <c r="G2" s="4" t="s">
        <v>48</v>
      </c>
      <c r="H2" s="1" t="s">
        <v>34</v>
      </c>
      <c r="I2" s="1">
        <v>576474</v>
      </c>
      <c r="J2" s="1" t="s">
        <v>48</v>
      </c>
      <c r="K2" s="1" t="s">
        <v>35</v>
      </c>
      <c r="L2" s="1" t="s">
        <v>961</v>
      </c>
      <c r="M2" s="1" t="s">
        <v>2</v>
      </c>
      <c r="N2" s="1" t="s">
        <v>3</v>
      </c>
      <c r="O2" s="1" t="s">
        <v>0</v>
      </c>
      <c r="Q2" s="1" t="s">
        <v>34</v>
      </c>
      <c r="R2" s="1" t="s">
        <v>34</v>
      </c>
      <c r="S2" s="1" t="s">
        <v>34</v>
      </c>
      <c r="T2" s="1" t="s">
        <v>36</v>
      </c>
      <c r="U2" s="1" t="s">
        <v>1213</v>
      </c>
      <c r="V2" s="1" t="s">
        <v>1210</v>
      </c>
      <c r="W2" s="1" t="s">
        <v>1213</v>
      </c>
      <c r="X2" s="1" t="s">
        <v>984</v>
      </c>
    </row>
    <row r="3" spans="1:24" ht="50.1" customHeight="1" x14ac:dyDescent="0.25">
      <c r="A3" s="1" t="s">
        <v>863</v>
      </c>
      <c r="B3" s="5" t="s">
        <v>1352</v>
      </c>
      <c r="C3" s="2" t="s">
        <v>617</v>
      </c>
      <c r="D3" s="2" t="s">
        <v>48</v>
      </c>
      <c r="E3" s="2" t="s">
        <v>48</v>
      </c>
      <c r="F3" s="3">
        <v>8885333487</v>
      </c>
      <c r="G3" s="4" t="s">
        <v>48</v>
      </c>
      <c r="H3" s="1" t="s">
        <v>34</v>
      </c>
      <c r="I3" s="1">
        <v>825849</v>
      </c>
      <c r="J3" s="1" t="s">
        <v>48</v>
      </c>
      <c r="K3" s="1" t="s">
        <v>35</v>
      </c>
      <c r="M3" s="1" t="s">
        <v>2</v>
      </c>
      <c r="O3" s="1" t="s">
        <v>0</v>
      </c>
      <c r="Q3" s="1" t="s">
        <v>34</v>
      </c>
      <c r="R3" s="1" t="s">
        <v>36</v>
      </c>
      <c r="S3" s="1" t="s">
        <v>34</v>
      </c>
      <c r="T3" s="1" t="s">
        <v>34</v>
      </c>
      <c r="U3" s="1" t="s">
        <v>1198</v>
      </c>
      <c r="V3" s="1" t="s">
        <v>34</v>
      </c>
      <c r="W3" s="1" t="s">
        <v>1115</v>
      </c>
      <c r="X3" s="1" t="s">
        <v>1114</v>
      </c>
    </row>
    <row r="4" spans="1:24" ht="50.1" customHeight="1" x14ac:dyDescent="0.25">
      <c r="A4" s="1" t="s">
        <v>240</v>
      </c>
      <c r="B4" s="5" t="s">
        <v>1343</v>
      </c>
      <c r="C4" s="2" t="s">
        <v>242</v>
      </c>
      <c r="D4" s="2" t="s">
        <v>48</v>
      </c>
      <c r="E4" s="2" t="s">
        <v>48</v>
      </c>
      <c r="F4" s="3">
        <v>5597342748</v>
      </c>
      <c r="G4" s="4" t="s">
        <v>48</v>
      </c>
      <c r="H4" s="1" t="s">
        <v>34</v>
      </c>
      <c r="I4" s="1">
        <v>992601</v>
      </c>
      <c r="J4" s="1" t="s">
        <v>48</v>
      </c>
      <c r="K4" s="1" t="s">
        <v>35</v>
      </c>
      <c r="M4" s="1" t="s">
        <v>2</v>
      </c>
      <c r="N4" s="1" t="s">
        <v>3</v>
      </c>
      <c r="O4" s="1" t="s">
        <v>0</v>
      </c>
      <c r="Q4" s="1" t="s">
        <v>34</v>
      </c>
      <c r="R4" s="1" t="s">
        <v>34</v>
      </c>
      <c r="S4" s="1" t="s">
        <v>34</v>
      </c>
      <c r="T4" s="1" t="s">
        <v>34</v>
      </c>
      <c r="U4" s="1" t="s">
        <v>1116</v>
      </c>
      <c r="V4" s="1" t="s">
        <v>34</v>
      </c>
      <c r="W4" s="1" t="s">
        <v>243</v>
      </c>
      <c r="X4" s="1" t="s">
        <v>1117</v>
      </c>
    </row>
    <row r="5" spans="1:24" ht="50.1" customHeight="1" x14ac:dyDescent="0.25">
      <c r="A5" s="1" t="s">
        <v>214</v>
      </c>
      <c r="B5" s="5" t="s">
        <v>215</v>
      </c>
      <c r="C5" s="2" t="s">
        <v>216</v>
      </c>
      <c r="D5" s="2" t="s">
        <v>48</v>
      </c>
      <c r="E5" s="2" t="s">
        <v>48</v>
      </c>
      <c r="F5" s="3">
        <v>5105265715</v>
      </c>
      <c r="G5" s="4" t="s">
        <v>48</v>
      </c>
      <c r="H5" s="1" t="s">
        <v>34</v>
      </c>
      <c r="I5" s="1">
        <v>891743</v>
      </c>
      <c r="J5" s="1" t="s">
        <v>48</v>
      </c>
      <c r="K5" s="1" t="s">
        <v>35</v>
      </c>
      <c r="N5" s="1" t="s">
        <v>3</v>
      </c>
      <c r="O5" s="1" t="s">
        <v>0</v>
      </c>
      <c r="Q5" s="1" t="s">
        <v>34</v>
      </c>
      <c r="R5" s="1" t="s">
        <v>34</v>
      </c>
      <c r="S5" s="1" t="s">
        <v>34</v>
      </c>
      <c r="T5" s="1" t="s">
        <v>36</v>
      </c>
      <c r="U5" s="1" t="s">
        <v>1213</v>
      </c>
      <c r="V5" s="1" t="s">
        <v>34</v>
      </c>
      <c r="W5" s="1" t="s">
        <v>985</v>
      </c>
      <c r="X5" s="1" t="s">
        <v>1107</v>
      </c>
    </row>
    <row r="6" spans="1:24" ht="50.1" customHeight="1" x14ac:dyDescent="0.25">
      <c r="A6" s="1" t="s">
        <v>866</v>
      </c>
      <c r="B6" s="5" t="s">
        <v>622</v>
      </c>
      <c r="C6" s="2" t="s">
        <v>623</v>
      </c>
      <c r="D6" s="2" t="s">
        <v>48</v>
      </c>
      <c r="E6" s="2" t="s">
        <v>48</v>
      </c>
      <c r="F6" s="3">
        <v>9164817200</v>
      </c>
      <c r="G6" s="4" t="s">
        <v>48</v>
      </c>
      <c r="H6" s="1" t="s">
        <v>34</v>
      </c>
      <c r="I6" s="1">
        <v>979954</v>
      </c>
      <c r="J6" s="1" t="s">
        <v>48</v>
      </c>
      <c r="K6" s="1" t="s">
        <v>35</v>
      </c>
      <c r="M6" s="1" t="s">
        <v>2</v>
      </c>
      <c r="N6" s="1" t="s">
        <v>3</v>
      </c>
      <c r="O6" s="1" t="s">
        <v>0</v>
      </c>
      <c r="Q6" s="1" t="s">
        <v>34</v>
      </c>
      <c r="R6" s="1" t="s">
        <v>34</v>
      </c>
      <c r="S6" s="1" t="s">
        <v>34</v>
      </c>
      <c r="T6" s="1" t="s">
        <v>34</v>
      </c>
      <c r="U6" s="1" t="s">
        <v>624</v>
      </c>
      <c r="V6" s="1" t="s">
        <v>34</v>
      </c>
      <c r="W6" s="1" t="s">
        <v>1118</v>
      </c>
      <c r="X6" s="1" t="s">
        <v>1071</v>
      </c>
    </row>
    <row r="7" spans="1:24" ht="50.1" customHeight="1" x14ac:dyDescent="0.25">
      <c r="A7" s="1" t="s">
        <v>71</v>
      </c>
      <c r="B7" s="5" t="s">
        <v>72</v>
      </c>
      <c r="C7" s="2" t="s">
        <v>73</v>
      </c>
      <c r="D7" s="2" t="s">
        <v>48</v>
      </c>
      <c r="E7" s="2" t="s">
        <v>48</v>
      </c>
      <c r="F7" s="3">
        <v>7077899537</v>
      </c>
      <c r="G7" s="4" t="s">
        <v>48</v>
      </c>
      <c r="H7" s="1" t="s">
        <v>34</v>
      </c>
      <c r="I7" s="1">
        <v>806325</v>
      </c>
      <c r="J7" s="1" t="s">
        <v>48</v>
      </c>
      <c r="K7" s="1" t="s">
        <v>35</v>
      </c>
      <c r="L7" s="1" t="s">
        <v>961</v>
      </c>
      <c r="M7" s="1" t="s">
        <v>2</v>
      </c>
      <c r="N7" s="1" t="s">
        <v>3</v>
      </c>
      <c r="O7" s="1" t="s">
        <v>0</v>
      </c>
      <c r="P7" s="1" t="s">
        <v>1</v>
      </c>
      <c r="Q7" s="1" t="s">
        <v>34</v>
      </c>
      <c r="R7" s="1" t="s">
        <v>34</v>
      </c>
      <c r="S7" s="1" t="s">
        <v>34</v>
      </c>
      <c r="T7" s="1" t="s">
        <v>36</v>
      </c>
      <c r="U7" s="1" t="s">
        <v>1213</v>
      </c>
      <c r="V7" s="1" t="s">
        <v>34</v>
      </c>
      <c r="W7" s="1" t="s">
        <v>74</v>
      </c>
      <c r="X7" s="1" t="s">
        <v>986</v>
      </c>
    </row>
    <row r="8" spans="1:24" ht="50.1" customHeight="1" x14ac:dyDescent="0.25">
      <c r="A8" s="1" t="s">
        <v>1233</v>
      </c>
      <c r="B8" s="5" t="s">
        <v>792</v>
      </c>
      <c r="C8" s="2" t="s">
        <v>793</v>
      </c>
      <c r="D8" s="2" t="s">
        <v>48</v>
      </c>
      <c r="E8" s="2" t="s">
        <v>48</v>
      </c>
      <c r="F8" s="3">
        <v>8058233232</v>
      </c>
      <c r="G8" s="4" t="s">
        <v>48</v>
      </c>
      <c r="H8" s="1" t="s">
        <v>34</v>
      </c>
      <c r="I8" s="1">
        <v>1009773</v>
      </c>
      <c r="J8" s="1" t="s">
        <v>48</v>
      </c>
      <c r="K8" s="1" t="s">
        <v>35</v>
      </c>
      <c r="M8" s="1" t="s">
        <v>2</v>
      </c>
      <c r="N8" s="1" t="s">
        <v>3</v>
      </c>
      <c r="O8" s="1" t="s">
        <v>0</v>
      </c>
      <c r="Q8" s="1" t="s">
        <v>34</v>
      </c>
      <c r="R8" s="1" t="s">
        <v>34</v>
      </c>
      <c r="S8" s="1" t="s">
        <v>34</v>
      </c>
      <c r="T8" s="1" t="s">
        <v>34</v>
      </c>
      <c r="U8" s="1" t="s">
        <v>969</v>
      </c>
      <c r="V8" s="1" t="s">
        <v>1210</v>
      </c>
      <c r="W8" s="1" t="s">
        <v>1213</v>
      </c>
      <c r="X8" s="1" t="s">
        <v>1213</v>
      </c>
    </row>
    <row r="9" spans="1:24" ht="50.1" customHeight="1" x14ac:dyDescent="0.25">
      <c r="A9" s="1" t="s">
        <v>907</v>
      </c>
      <c r="B9" s="5" t="s">
        <v>738</v>
      </c>
      <c r="C9" s="2" t="s">
        <v>739</v>
      </c>
      <c r="D9" s="2" t="s">
        <v>48</v>
      </c>
      <c r="E9" s="2" t="s">
        <v>48</v>
      </c>
      <c r="F9" s="3">
        <v>5597470111</v>
      </c>
      <c r="G9" s="4" t="s">
        <v>48</v>
      </c>
      <c r="H9" s="1" t="s">
        <v>34</v>
      </c>
      <c r="I9" s="1">
        <v>885073</v>
      </c>
      <c r="J9" s="1" t="s">
        <v>48</v>
      </c>
      <c r="K9" s="1" t="s">
        <v>35</v>
      </c>
      <c r="L9" s="1" t="s">
        <v>961</v>
      </c>
      <c r="M9" s="1" t="s">
        <v>2</v>
      </c>
      <c r="N9" s="1" t="s">
        <v>3</v>
      </c>
      <c r="O9" s="1" t="s">
        <v>0</v>
      </c>
      <c r="P9" s="1" t="s">
        <v>1</v>
      </c>
      <c r="Q9" s="1" t="s">
        <v>36</v>
      </c>
      <c r="R9" s="1" t="s">
        <v>34</v>
      </c>
      <c r="S9" s="1" t="s">
        <v>34</v>
      </c>
      <c r="T9" s="1" t="s">
        <v>36</v>
      </c>
      <c r="U9" s="1" t="s">
        <v>1213</v>
      </c>
      <c r="V9" s="1" t="s">
        <v>34</v>
      </c>
      <c r="W9" s="1" t="s">
        <v>740</v>
      </c>
      <c r="X9" s="1" t="s">
        <v>1213</v>
      </c>
    </row>
    <row r="10" spans="1:24" ht="50.1" customHeight="1" x14ac:dyDescent="0.25">
      <c r="A10" s="1" t="s">
        <v>458</v>
      </c>
      <c r="B10" s="5" t="s">
        <v>1353</v>
      </c>
      <c r="C10" s="2" t="s">
        <v>459</v>
      </c>
      <c r="D10" s="2" t="s">
        <v>48</v>
      </c>
      <c r="E10" s="2" t="s">
        <v>48</v>
      </c>
      <c r="F10" s="3">
        <v>4155581786</v>
      </c>
      <c r="G10" s="4" t="s">
        <v>48</v>
      </c>
      <c r="H10" s="1" t="s">
        <v>34</v>
      </c>
      <c r="I10" s="1">
        <v>878027</v>
      </c>
      <c r="J10" s="1" t="s">
        <v>48</v>
      </c>
      <c r="K10" s="1" t="s">
        <v>35</v>
      </c>
      <c r="M10" s="1" t="s">
        <v>2</v>
      </c>
      <c r="N10" s="1" t="s">
        <v>3</v>
      </c>
      <c r="O10" s="1" t="s">
        <v>0</v>
      </c>
      <c r="P10" s="1" t="s">
        <v>1</v>
      </c>
      <c r="Q10" s="1" t="s">
        <v>1210</v>
      </c>
      <c r="R10" s="1" t="s">
        <v>1210</v>
      </c>
      <c r="S10" s="1" t="s">
        <v>1210</v>
      </c>
      <c r="T10" s="1" t="s">
        <v>36</v>
      </c>
      <c r="U10" s="1" t="s">
        <v>1213</v>
      </c>
      <c r="V10" s="1" t="s">
        <v>1210</v>
      </c>
      <c r="W10" s="1" t="s">
        <v>1213</v>
      </c>
      <c r="X10" s="1" t="s">
        <v>1213</v>
      </c>
    </row>
    <row r="11" spans="1:24" ht="50.1" customHeight="1" x14ac:dyDescent="0.25">
      <c r="A11" s="1" t="s">
        <v>208</v>
      </c>
      <c r="B11" s="5" t="s">
        <v>209</v>
      </c>
      <c r="C11" s="2" t="s">
        <v>210</v>
      </c>
      <c r="D11" s="2" t="s">
        <v>48</v>
      </c>
      <c r="E11" s="2" t="s">
        <v>48</v>
      </c>
      <c r="F11" s="3">
        <v>7608774759</v>
      </c>
      <c r="G11" s="4" t="s">
        <v>48</v>
      </c>
      <c r="H11" s="1" t="s">
        <v>34</v>
      </c>
      <c r="I11" s="1">
        <v>983966</v>
      </c>
      <c r="J11" s="1" t="s">
        <v>48</v>
      </c>
      <c r="K11" s="1" t="s">
        <v>35</v>
      </c>
      <c r="L11" s="1" t="s">
        <v>961</v>
      </c>
      <c r="M11" s="1" t="s">
        <v>2</v>
      </c>
      <c r="O11" s="1" t="s">
        <v>0</v>
      </c>
      <c r="Q11" s="1" t="s">
        <v>1210</v>
      </c>
      <c r="R11" s="1" t="s">
        <v>1210</v>
      </c>
      <c r="S11" s="1" t="s">
        <v>1210</v>
      </c>
      <c r="T11" s="1" t="s">
        <v>36</v>
      </c>
      <c r="U11" s="1" t="s">
        <v>1213</v>
      </c>
      <c r="V11" s="1" t="s">
        <v>1210</v>
      </c>
      <c r="W11" s="1" t="s">
        <v>1213</v>
      </c>
      <c r="X11" s="1" t="s">
        <v>1213</v>
      </c>
    </row>
    <row r="12" spans="1:24" ht="50.1" customHeight="1" x14ac:dyDescent="0.25">
      <c r="A12" s="1" t="s">
        <v>906</v>
      </c>
      <c r="B12" s="5" t="s">
        <v>734</v>
      </c>
      <c r="C12" s="2" t="s">
        <v>735</v>
      </c>
      <c r="D12" s="2" t="s">
        <v>48</v>
      </c>
      <c r="E12" s="2" t="s">
        <v>48</v>
      </c>
      <c r="F12" s="3">
        <v>7608925483</v>
      </c>
      <c r="G12" s="4" t="s">
        <v>48</v>
      </c>
      <c r="H12" s="1" t="s">
        <v>34</v>
      </c>
      <c r="I12" s="1">
        <v>983966</v>
      </c>
      <c r="J12" s="1" t="s">
        <v>48</v>
      </c>
      <c r="K12" s="1" t="s">
        <v>35</v>
      </c>
      <c r="L12" s="1" t="s">
        <v>961</v>
      </c>
      <c r="M12" s="1" t="s">
        <v>2</v>
      </c>
      <c r="N12" s="1" t="s">
        <v>3</v>
      </c>
      <c r="O12" s="1" t="s">
        <v>0</v>
      </c>
      <c r="Q12" s="1" t="s">
        <v>34</v>
      </c>
      <c r="R12" s="1" t="s">
        <v>34</v>
      </c>
      <c r="S12" s="1" t="s">
        <v>34</v>
      </c>
      <c r="T12" s="1" t="s">
        <v>34</v>
      </c>
      <c r="U12" s="1" t="s">
        <v>736</v>
      </c>
      <c r="V12" s="1" t="s">
        <v>34</v>
      </c>
      <c r="W12" s="1" t="s">
        <v>987</v>
      </c>
      <c r="X12" s="1" t="s">
        <v>737</v>
      </c>
    </row>
    <row r="13" spans="1:24" ht="50.1" customHeight="1" x14ac:dyDescent="0.25">
      <c r="A13" s="1" t="s">
        <v>1295</v>
      </c>
      <c r="B13" s="5" t="s">
        <v>1354</v>
      </c>
      <c r="C13" s="2" t="s">
        <v>475</v>
      </c>
      <c r="D13" s="2" t="s">
        <v>48</v>
      </c>
      <c r="E13" s="2" t="s">
        <v>48</v>
      </c>
      <c r="F13" s="3">
        <v>5307366527</v>
      </c>
      <c r="G13" s="4" t="s">
        <v>48</v>
      </c>
      <c r="H13" s="1" t="s">
        <v>34</v>
      </c>
      <c r="I13" s="1">
        <v>1037365</v>
      </c>
      <c r="J13" s="1" t="s">
        <v>48</v>
      </c>
      <c r="K13" s="1" t="s">
        <v>35</v>
      </c>
      <c r="M13" s="1" t="s">
        <v>2</v>
      </c>
      <c r="N13" s="1" t="s">
        <v>3</v>
      </c>
      <c r="O13" s="1" t="s">
        <v>0</v>
      </c>
      <c r="Q13" s="1" t="s">
        <v>34</v>
      </c>
      <c r="R13" s="1" t="s">
        <v>34</v>
      </c>
      <c r="S13" s="1" t="s">
        <v>34</v>
      </c>
      <c r="T13" s="1" t="s">
        <v>34</v>
      </c>
      <c r="U13" s="1" t="s">
        <v>1119</v>
      </c>
      <c r="V13" s="1" t="s">
        <v>34</v>
      </c>
      <c r="W13" s="1" t="s">
        <v>1205</v>
      </c>
      <c r="X13" s="1" t="s">
        <v>1072</v>
      </c>
    </row>
    <row r="14" spans="1:24" ht="50.1" customHeight="1" x14ac:dyDescent="0.25">
      <c r="A14" s="1" t="s">
        <v>941</v>
      </c>
      <c r="B14" s="5" t="s">
        <v>808</v>
      </c>
      <c r="C14" s="2" t="s">
        <v>809</v>
      </c>
      <c r="D14" s="2" t="s">
        <v>48</v>
      </c>
      <c r="E14" s="2" t="s">
        <v>48</v>
      </c>
      <c r="F14" s="3">
        <v>8182014206</v>
      </c>
      <c r="G14" s="4" t="s">
        <v>48</v>
      </c>
      <c r="H14" s="1" t="s">
        <v>34</v>
      </c>
      <c r="I14" s="1">
        <v>979146</v>
      </c>
      <c r="J14" s="1" t="s">
        <v>48</v>
      </c>
      <c r="K14" s="1" t="s">
        <v>35</v>
      </c>
      <c r="M14" s="1" t="s">
        <v>2</v>
      </c>
      <c r="N14" s="1" t="s">
        <v>3</v>
      </c>
      <c r="O14" s="1" t="s">
        <v>0</v>
      </c>
      <c r="Q14" s="1" t="s">
        <v>34</v>
      </c>
      <c r="R14" s="1" t="s">
        <v>36</v>
      </c>
      <c r="S14" s="1" t="s">
        <v>34</v>
      </c>
      <c r="T14" s="1" t="s">
        <v>34</v>
      </c>
      <c r="U14" s="1" t="s">
        <v>810</v>
      </c>
      <c r="V14" s="1" t="s">
        <v>1210</v>
      </c>
      <c r="W14" s="1" t="s">
        <v>1213</v>
      </c>
      <c r="X14" s="1" t="s">
        <v>811</v>
      </c>
    </row>
    <row r="15" spans="1:24" ht="50.1" customHeight="1" x14ac:dyDescent="0.25">
      <c r="A15" s="1" t="s">
        <v>122</v>
      </c>
      <c r="B15" s="5" t="s">
        <v>123</v>
      </c>
      <c r="C15" s="2" t="s">
        <v>124</v>
      </c>
      <c r="D15" s="2" t="s">
        <v>48</v>
      </c>
      <c r="E15" s="2" t="s">
        <v>48</v>
      </c>
      <c r="F15" s="3">
        <v>9495028565</v>
      </c>
      <c r="G15" s="4" t="s">
        <v>48</v>
      </c>
      <c r="H15" s="1" t="s">
        <v>34</v>
      </c>
      <c r="I15" s="1">
        <v>1001983</v>
      </c>
      <c r="J15" s="1" t="s">
        <v>48</v>
      </c>
      <c r="K15" s="1" t="s">
        <v>35</v>
      </c>
      <c r="L15" s="1" t="s">
        <v>961</v>
      </c>
      <c r="M15" s="1" t="s">
        <v>2</v>
      </c>
      <c r="N15" s="1" t="s">
        <v>3</v>
      </c>
      <c r="O15" s="1" t="s">
        <v>0</v>
      </c>
      <c r="P15" s="1" t="s">
        <v>1</v>
      </c>
      <c r="Q15" s="1" t="s">
        <v>34</v>
      </c>
      <c r="R15" s="1" t="s">
        <v>36</v>
      </c>
      <c r="S15" s="1" t="s">
        <v>34</v>
      </c>
      <c r="T15" s="1" t="s">
        <v>36</v>
      </c>
      <c r="U15" s="1" t="s">
        <v>1213</v>
      </c>
      <c r="V15" s="1" t="s">
        <v>1210</v>
      </c>
      <c r="W15" s="1" t="s">
        <v>1213</v>
      </c>
      <c r="X15" s="1" t="s">
        <v>1213</v>
      </c>
    </row>
    <row r="16" spans="1:24" ht="50.1" customHeight="1" x14ac:dyDescent="0.25">
      <c r="A16" s="1" t="s">
        <v>881</v>
      </c>
      <c r="B16" s="5" t="s">
        <v>661</v>
      </c>
      <c r="C16" s="2" t="s">
        <v>662</v>
      </c>
      <c r="D16" s="2" t="s">
        <v>48</v>
      </c>
      <c r="E16" s="2" t="s">
        <v>48</v>
      </c>
      <c r="F16" s="3">
        <v>5596882544</v>
      </c>
      <c r="G16" s="4" t="s">
        <v>48</v>
      </c>
      <c r="H16" s="1" t="s">
        <v>34</v>
      </c>
      <c r="I16" s="1">
        <v>944549</v>
      </c>
      <c r="J16" s="1" t="s">
        <v>48</v>
      </c>
      <c r="K16" s="1" t="s">
        <v>35</v>
      </c>
      <c r="M16" s="1" t="s">
        <v>2</v>
      </c>
      <c r="N16" s="1" t="s">
        <v>3</v>
      </c>
      <c r="O16" s="1" t="s">
        <v>0</v>
      </c>
      <c r="P16" s="1" t="s">
        <v>1</v>
      </c>
      <c r="Q16" s="1" t="s">
        <v>34</v>
      </c>
      <c r="R16" s="1" t="s">
        <v>34</v>
      </c>
      <c r="S16" s="1" t="s">
        <v>34</v>
      </c>
      <c r="T16" s="1" t="s">
        <v>36</v>
      </c>
      <c r="U16" s="1" t="s">
        <v>1213</v>
      </c>
      <c r="V16" s="1" t="s">
        <v>34</v>
      </c>
      <c r="W16" s="1" t="s">
        <v>989</v>
      </c>
      <c r="X16" s="1" t="s">
        <v>1108</v>
      </c>
    </row>
    <row r="17" spans="1:24" ht="50.1" customHeight="1" x14ac:dyDescent="0.25">
      <c r="A17" s="1" t="s">
        <v>936</v>
      </c>
      <c r="B17" s="5" t="s">
        <v>800</v>
      </c>
      <c r="C17" s="2" t="s">
        <v>801</v>
      </c>
      <c r="D17" s="2" t="s">
        <v>48</v>
      </c>
      <c r="E17" s="2" t="s">
        <v>48</v>
      </c>
      <c r="F17" s="3">
        <v>9495741887</v>
      </c>
      <c r="G17" s="4" t="s">
        <v>48</v>
      </c>
      <c r="H17" s="1" t="s">
        <v>34</v>
      </c>
      <c r="I17" s="1">
        <v>967586</v>
      </c>
      <c r="J17" s="1" t="s">
        <v>48</v>
      </c>
      <c r="K17" s="1" t="s">
        <v>35</v>
      </c>
      <c r="L17" s="1" t="s">
        <v>961</v>
      </c>
      <c r="M17" s="1" t="s">
        <v>2</v>
      </c>
      <c r="O17" s="1" t="s">
        <v>0</v>
      </c>
      <c r="Q17" s="1" t="s">
        <v>34</v>
      </c>
      <c r="R17" s="1" t="s">
        <v>34</v>
      </c>
      <c r="S17" s="1" t="s">
        <v>34</v>
      </c>
      <c r="T17" s="1" t="s">
        <v>36</v>
      </c>
      <c r="U17" s="1" t="s">
        <v>1213</v>
      </c>
      <c r="V17" s="1" t="s">
        <v>34</v>
      </c>
      <c r="W17" s="1" t="s">
        <v>990</v>
      </c>
      <c r="X17" s="1" t="s">
        <v>1120</v>
      </c>
    </row>
    <row r="18" spans="1:24" ht="50.1" customHeight="1" x14ac:dyDescent="0.25">
      <c r="A18" s="1" t="s">
        <v>87</v>
      </c>
      <c r="B18" s="5" t="s">
        <v>88</v>
      </c>
      <c r="C18" s="2" t="s">
        <v>89</v>
      </c>
      <c r="D18" s="2" t="s">
        <v>48</v>
      </c>
      <c r="E18" s="2" t="s">
        <v>48</v>
      </c>
      <c r="F18" s="3">
        <v>7079998036</v>
      </c>
      <c r="G18" s="4" t="s">
        <v>48</v>
      </c>
      <c r="H18" s="1" t="s">
        <v>34</v>
      </c>
      <c r="I18" s="1">
        <v>979872</v>
      </c>
      <c r="J18" s="1" t="s">
        <v>48</v>
      </c>
      <c r="K18" s="1" t="s">
        <v>35</v>
      </c>
      <c r="L18" s="1" t="s">
        <v>961</v>
      </c>
      <c r="M18" s="1" t="s">
        <v>2</v>
      </c>
      <c r="N18" s="1" t="s">
        <v>3</v>
      </c>
      <c r="O18" s="1" t="s">
        <v>0</v>
      </c>
      <c r="Q18" s="1" t="s">
        <v>34</v>
      </c>
      <c r="R18" s="1" t="s">
        <v>34</v>
      </c>
      <c r="S18" s="1" t="s">
        <v>34</v>
      </c>
      <c r="T18" s="1" t="s">
        <v>36</v>
      </c>
      <c r="U18" s="1" t="s">
        <v>1213</v>
      </c>
      <c r="V18" s="1" t="s">
        <v>34</v>
      </c>
      <c r="W18" s="1" t="s">
        <v>90</v>
      </c>
      <c r="X18" s="1" t="s">
        <v>1121</v>
      </c>
    </row>
    <row r="19" spans="1:24" ht="50.1" customHeight="1" x14ac:dyDescent="0.25">
      <c r="A19" s="1" t="s">
        <v>427</v>
      </c>
      <c r="B19" s="5" t="s">
        <v>378</v>
      </c>
      <c r="C19" s="2" t="s">
        <v>379</v>
      </c>
      <c r="D19" s="2" t="s">
        <v>48</v>
      </c>
      <c r="E19" s="2" t="s">
        <v>48</v>
      </c>
      <c r="F19" s="3">
        <v>3102664728</v>
      </c>
      <c r="G19" s="3">
        <v>8052728235</v>
      </c>
      <c r="H19" s="1" t="s">
        <v>34</v>
      </c>
      <c r="I19" s="1">
        <v>817191</v>
      </c>
      <c r="J19" s="1" t="s">
        <v>48</v>
      </c>
      <c r="K19" s="1" t="s">
        <v>35</v>
      </c>
      <c r="M19" s="1" t="s">
        <v>2</v>
      </c>
      <c r="O19" s="1" t="s">
        <v>0</v>
      </c>
      <c r="Q19" s="1" t="s">
        <v>34</v>
      </c>
      <c r="R19" s="1" t="s">
        <v>34</v>
      </c>
      <c r="S19" s="1" t="s">
        <v>34</v>
      </c>
      <c r="T19" s="1" t="s">
        <v>36</v>
      </c>
      <c r="U19" s="1" t="s">
        <v>1213</v>
      </c>
      <c r="V19" s="1" t="s">
        <v>34</v>
      </c>
      <c r="W19" s="1" t="s">
        <v>380</v>
      </c>
      <c r="X19" s="1" t="s">
        <v>1296</v>
      </c>
    </row>
    <row r="20" spans="1:24" ht="50.1" customHeight="1" x14ac:dyDescent="0.25">
      <c r="A20" s="1" t="s">
        <v>915</v>
      </c>
      <c r="B20" s="5" t="s">
        <v>753</v>
      </c>
      <c r="C20" s="2" t="s">
        <v>991</v>
      </c>
      <c r="D20" s="2" t="s">
        <v>48</v>
      </c>
      <c r="E20" s="2" t="s">
        <v>48</v>
      </c>
      <c r="F20" s="3">
        <v>9162401962</v>
      </c>
      <c r="G20" s="4" t="s">
        <v>48</v>
      </c>
      <c r="H20" s="1" t="s">
        <v>34</v>
      </c>
      <c r="I20" s="1">
        <v>839729</v>
      </c>
      <c r="J20" s="1" t="s">
        <v>48</v>
      </c>
      <c r="K20" s="1" t="s">
        <v>35</v>
      </c>
      <c r="M20" s="1" t="s">
        <v>2</v>
      </c>
      <c r="O20" s="1" t="s">
        <v>0</v>
      </c>
      <c r="Q20" s="1" t="s">
        <v>36</v>
      </c>
      <c r="R20" s="1" t="s">
        <v>34</v>
      </c>
      <c r="S20" s="1" t="s">
        <v>34</v>
      </c>
      <c r="T20" s="1" t="s">
        <v>34</v>
      </c>
      <c r="U20" s="1" t="s">
        <v>754</v>
      </c>
      <c r="V20" s="1" t="s">
        <v>1210</v>
      </c>
      <c r="W20" s="1" t="s">
        <v>1213</v>
      </c>
      <c r="X20" s="1" t="s">
        <v>1213</v>
      </c>
    </row>
    <row r="21" spans="1:24" ht="50.1" customHeight="1" x14ac:dyDescent="0.25">
      <c r="A21" s="1" t="s">
        <v>383</v>
      </c>
      <c r="B21" s="2" t="s">
        <v>384</v>
      </c>
      <c r="C21" s="2" t="s">
        <v>385</v>
      </c>
      <c r="D21" s="2" t="s">
        <v>48</v>
      </c>
      <c r="E21" s="2" t="s">
        <v>48</v>
      </c>
      <c r="F21" s="3">
        <v>7072724247</v>
      </c>
      <c r="G21" s="4" t="s">
        <v>48</v>
      </c>
      <c r="H21" s="1" t="s">
        <v>34</v>
      </c>
      <c r="I21" s="1">
        <v>820874</v>
      </c>
      <c r="J21" s="1" t="s">
        <v>48</v>
      </c>
      <c r="K21" s="1" t="s">
        <v>35</v>
      </c>
      <c r="L21" s="1" t="s">
        <v>961</v>
      </c>
      <c r="M21" s="1" t="s">
        <v>2</v>
      </c>
      <c r="N21" s="1" t="s">
        <v>3</v>
      </c>
      <c r="Q21" s="1" t="s">
        <v>34</v>
      </c>
      <c r="R21" s="1" t="s">
        <v>34</v>
      </c>
      <c r="S21" s="1" t="s">
        <v>34</v>
      </c>
      <c r="T21" s="1" t="s">
        <v>34</v>
      </c>
      <c r="U21" s="1" t="s">
        <v>386</v>
      </c>
      <c r="V21" s="1" t="s">
        <v>34</v>
      </c>
      <c r="W21" s="1" t="s">
        <v>387</v>
      </c>
      <c r="X21" s="1" t="s">
        <v>1213</v>
      </c>
    </row>
    <row r="22" spans="1:24" ht="50.1" customHeight="1" x14ac:dyDescent="0.25">
      <c r="A22" s="1" t="s">
        <v>293</v>
      </c>
      <c r="B22" s="5" t="s">
        <v>1355</v>
      </c>
      <c r="C22" s="2" t="s">
        <v>295</v>
      </c>
      <c r="D22" s="2" t="s">
        <v>48</v>
      </c>
      <c r="E22" s="2" t="s">
        <v>48</v>
      </c>
      <c r="F22" s="3">
        <v>8184843264</v>
      </c>
      <c r="G22" s="4" t="s">
        <v>48</v>
      </c>
      <c r="H22" s="1" t="s">
        <v>34</v>
      </c>
      <c r="I22" s="1">
        <v>901196</v>
      </c>
      <c r="J22" s="1" t="s">
        <v>48</v>
      </c>
      <c r="K22" s="1" t="s">
        <v>35</v>
      </c>
      <c r="L22" s="1" t="s">
        <v>961</v>
      </c>
      <c r="M22" s="1" t="s">
        <v>2</v>
      </c>
      <c r="N22" s="1" t="s">
        <v>3</v>
      </c>
      <c r="O22" s="1" t="s">
        <v>0</v>
      </c>
      <c r="P22" s="1" t="s">
        <v>1</v>
      </c>
      <c r="Q22" s="1" t="s">
        <v>34</v>
      </c>
      <c r="R22" s="1" t="s">
        <v>36</v>
      </c>
      <c r="S22" s="1" t="s">
        <v>34</v>
      </c>
      <c r="T22" s="1" t="s">
        <v>36</v>
      </c>
      <c r="U22" s="1" t="s">
        <v>1213</v>
      </c>
      <c r="V22" s="1" t="s">
        <v>1210</v>
      </c>
      <c r="W22" s="1" t="s">
        <v>1213</v>
      </c>
      <c r="X22" s="1" t="s">
        <v>1213</v>
      </c>
    </row>
    <row r="23" spans="1:24" ht="50.1" customHeight="1" x14ac:dyDescent="0.25">
      <c r="A23" s="1" t="s">
        <v>401</v>
      </c>
      <c r="B23" s="5" t="s">
        <v>402</v>
      </c>
      <c r="C23" s="2" t="s">
        <v>403</v>
      </c>
      <c r="D23" s="2" t="s">
        <v>48</v>
      </c>
      <c r="E23" s="2" t="s">
        <v>48</v>
      </c>
      <c r="F23" s="3">
        <v>9168532700</v>
      </c>
      <c r="G23" s="4" t="s">
        <v>48</v>
      </c>
      <c r="H23" s="1" t="s">
        <v>34</v>
      </c>
      <c r="I23" s="1">
        <v>550110</v>
      </c>
      <c r="J23" s="1" t="s">
        <v>48</v>
      </c>
      <c r="L23" s="1" t="s">
        <v>44</v>
      </c>
      <c r="N23" s="1" t="s">
        <v>3</v>
      </c>
      <c r="Q23" s="1" t="s">
        <v>34</v>
      </c>
      <c r="R23" s="1" t="s">
        <v>34</v>
      </c>
      <c r="S23" s="1" t="s">
        <v>34</v>
      </c>
      <c r="T23" s="1" t="s">
        <v>34</v>
      </c>
      <c r="U23" s="1" t="s">
        <v>1213</v>
      </c>
      <c r="V23" s="1" t="s">
        <v>1210</v>
      </c>
      <c r="W23" s="1" t="s">
        <v>1213</v>
      </c>
      <c r="X23" s="1" t="s">
        <v>404</v>
      </c>
    </row>
    <row r="24" spans="1:24" ht="50.1" customHeight="1" x14ac:dyDescent="0.25">
      <c r="A24" s="1" t="s">
        <v>471</v>
      </c>
      <c r="B24" s="5" t="s">
        <v>1356</v>
      </c>
      <c r="C24" s="2" t="s">
        <v>473</v>
      </c>
      <c r="D24" s="2" t="s">
        <v>48</v>
      </c>
      <c r="E24" s="2" t="s">
        <v>48</v>
      </c>
      <c r="F24" s="3">
        <v>5303654180</v>
      </c>
      <c r="G24" s="4" t="s">
        <v>48</v>
      </c>
      <c r="H24" s="1" t="s">
        <v>34</v>
      </c>
      <c r="I24" s="1">
        <v>519561</v>
      </c>
      <c r="J24" s="1" t="s">
        <v>48</v>
      </c>
      <c r="K24" s="1" t="s">
        <v>35</v>
      </c>
      <c r="O24" s="1" t="s">
        <v>0</v>
      </c>
      <c r="Q24" s="1" t="s">
        <v>34</v>
      </c>
      <c r="R24" s="1" t="s">
        <v>36</v>
      </c>
      <c r="S24" s="1" t="s">
        <v>34</v>
      </c>
      <c r="T24" s="1" t="s">
        <v>36</v>
      </c>
      <c r="U24" s="1" t="s">
        <v>1213</v>
      </c>
      <c r="V24" s="1" t="s">
        <v>1210</v>
      </c>
      <c r="W24" s="1" t="s">
        <v>1213</v>
      </c>
      <c r="X24" s="1" t="s">
        <v>1073</v>
      </c>
    </row>
    <row r="25" spans="1:24" ht="50.1" customHeight="1" x14ac:dyDescent="0.25">
      <c r="A25" s="1" t="s">
        <v>883</v>
      </c>
      <c r="B25" s="5" t="s">
        <v>668</v>
      </c>
      <c r="C25" s="2" t="s">
        <v>669</v>
      </c>
      <c r="D25" s="2" t="s">
        <v>48</v>
      </c>
      <c r="E25" s="2" t="s">
        <v>48</v>
      </c>
      <c r="F25" s="3">
        <v>7606905179</v>
      </c>
      <c r="G25" s="4" t="s">
        <v>48</v>
      </c>
      <c r="H25" s="1" t="s">
        <v>34</v>
      </c>
      <c r="I25" s="1">
        <v>161756</v>
      </c>
      <c r="J25" s="1" t="s">
        <v>48</v>
      </c>
      <c r="L25" s="1" t="s">
        <v>44</v>
      </c>
      <c r="N25" s="1" t="s">
        <v>3</v>
      </c>
      <c r="Q25" s="1" t="s">
        <v>34</v>
      </c>
      <c r="R25" s="1" t="s">
        <v>34</v>
      </c>
      <c r="S25" s="1" t="s">
        <v>34</v>
      </c>
      <c r="T25" s="1" t="s">
        <v>34</v>
      </c>
      <c r="U25" s="1" t="s">
        <v>1122</v>
      </c>
      <c r="V25" s="1" t="s">
        <v>34</v>
      </c>
      <c r="W25" s="1" t="s">
        <v>1124</v>
      </c>
      <c r="X25" s="1" t="s">
        <v>1123</v>
      </c>
    </row>
    <row r="26" spans="1:24" ht="50.1" customHeight="1" x14ac:dyDescent="0.25">
      <c r="A26" s="1" t="s">
        <v>360</v>
      </c>
      <c r="B26" s="5" t="s">
        <v>361</v>
      </c>
      <c r="C26" s="2" t="s">
        <v>362</v>
      </c>
      <c r="D26" s="2" t="s">
        <v>48</v>
      </c>
      <c r="E26" s="2" t="s">
        <v>48</v>
      </c>
      <c r="F26" s="3">
        <v>7605466000</v>
      </c>
      <c r="G26" s="4" t="s">
        <v>48</v>
      </c>
      <c r="H26" s="1" t="s">
        <v>34</v>
      </c>
      <c r="I26" s="1">
        <v>858088</v>
      </c>
      <c r="J26" s="1" t="s">
        <v>48</v>
      </c>
      <c r="K26" s="1" t="s">
        <v>35</v>
      </c>
      <c r="L26" s="1" t="s">
        <v>961</v>
      </c>
      <c r="M26" s="1" t="s">
        <v>2</v>
      </c>
      <c r="N26" s="1" t="s">
        <v>3</v>
      </c>
      <c r="O26" s="1" t="s">
        <v>0</v>
      </c>
      <c r="Q26" s="1" t="s">
        <v>34</v>
      </c>
      <c r="R26" s="1" t="s">
        <v>36</v>
      </c>
      <c r="S26" s="1" t="s">
        <v>34</v>
      </c>
      <c r="T26" s="1" t="s">
        <v>36</v>
      </c>
      <c r="U26" s="1" t="s">
        <v>1213</v>
      </c>
      <c r="V26" s="1" t="s">
        <v>1210</v>
      </c>
      <c r="W26" s="1" t="s">
        <v>1213</v>
      </c>
      <c r="X26" s="1" t="s">
        <v>1213</v>
      </c>
    </row>
    <row r="27" spans="1:24" ht="50.1" customHeight="1" x14ac:dyDescent="0.25">
      <c r="A27" s="1" t="s">
        <v>942</v>
      </c>
      <c r="B27" s="5" t="s">
        <v>812</v>
      </c>
      <c r="C27" s="2" t="s">
        <v>813</v>
      </c>
      <c r="D27" s="2" t="s">
        <v>48</v>
      </c>
      <c r="E27" s="2" t="s">
        <v>48</v>
      </c>
      <c r="F27" s="3">
        <v>9497935544</v>
      </c>
      <c r="G27" s="4" t="s">
        <v>48</v>
      </c>
      <c r="H27" s="1" t="s">
        <v>34</v>
      </c>
      <c r="I27" s="1">
        <v>963824</v>
      </c>
      <c r="J27" s="1" t="s">
        <v>48</v>
      </c>
      <c r="K27" s="1" t="s">
        <v>35</v>
      </c>
      <c r="L27" s="1" t="s">
        <v>961</v>
      </c>
      <c r="M27" s="1" t="s">
        <v>2</v>
      </c>
      <c r="N27" s="1" t="s">
        <v>3</v>
      </c>
      <c r="O27" s="1" t="s">
        <v>0</v>
      </c>
      <c r="P27" s="1" t="s">
        <v>1</v>
      </c>
      <c r="Q27" s="1" t="s">
        <v>36</v>
      </c>
      <c r="R27" s="1" t="s">
        <v>34</v>
      </c>
      <c r="S27" s="1" t="s">
        <v>34</v>
      </c>
      <c r="T27" s="1" t="s">
        <v>34</v>
      </c>
      <c r="U27" s="1" t="s">
        <v>970</v>
      </c>
      <c r="V27" s="1" t="s">
        <v>34</v>
      </c>
      <c r="W27" s="1" t="s">
        <v>992</v>
      </c>
      <c r="X27" s="1" t="s">
        <v>814</v>
      </c>
    </row>
    <row r="28" spans="1:24" ht="50.1" customHeight="1" x14ac:dyDescent="0.25">
      <c r="A28" s="1" t="s">
        <v>366</v>
      </c>
      <c r="B28" s="5" t="s">
        <v>1357</v>
      </c>
      <c r="C28" s="2" t="s">
        <v>368</v>
      </c>
      <c r="D28" s="2" t="s">
        <v>48</v>
      </c>
      <c r="E28" s="2" t="s">
        <v>48</v>
      </c>
      <c r="F28" s="3">
        <v>7609140564</v>
      </c>
      <c r="G28" s="4" t="s">
        <v>48</v>
      </c>
      <c r="H28" s="1" t="s">
        <v>34</v>
      </c>
      <c r="I28" s="1">
        <v>609462</v>
      </c>
      <c r="J28" s="1" t="s">
        <v>48</v>
      </c>
      <c r="K28" s="1" t="s">
        <v>35</v>
      </c>
      <c r="L28" s="1" t="s">
        <v>961</v>
      </c>
      <c r="M28" s="1" t="s">
        <v>2</v>
      </c>
      <c r="O28" s="1" t="s">
        <v>0</v>
      </c>
      <c r="Q28" s="1" t="s">
        <v>34</v>
      </c>
      <c r="R28" s="1" t="s">
        <v>34</v>
      </c>
      <c r="S28" s="1" t="s">
        <v>34</v>
      </c>
      <c r="T28" s="1" t="s">
        <v>36</v>
      </c>
      <c r="U28" s="1" t="s">
        <v>1213</v>
      </c>
      <c r="V28" s="1" t="s">
        <v>34</v>
      </c>
      <c r="W28" s="1" t="s">
        <v>993</v>
      </c>
      <c r="X28" s="1" t="s">
        <v>369</v>
      </c>
    </row>
    <row r="29" spans="1:24" ht="50.1" customHeight="1" x14ac:dyDescent="0.25">
      <c r="A29" s="1" t="s">
        <v>553</v>
      </c>
      <c r="B29" s="5" t="s">
        <v>554</v>
      </c>
      <c r="C29" s="2" t="s">
        <v>555</v>
      </c>
      <c r="D29" s="2" t="s">
        <v>48</v>
      </c>
      <c r="E29" s="2" t="s">
        <v>48</v>
      </c>
      <c r="F29" s="3">
        <v>9514400583</v>
      </c>
      <c r="G29" s="4" t="s">
        <v>48</v>
      </c>
      <c r="H29" s="1" t="s">
        <v>34</v>
      </c>
      <c r="I29" s="1">
        <v>915397</v>
      </c>
      <c r="J29" s="1" t="s">
        <v>48</v>
      </c>
      <c r="K29" s="1" t="s">
        <v>35</v>
      </c>
      <c r="M29" s="1" t="s">
        <v>2</v>
      </c>
      <c r="O29" s="1" t="s">
        <v>0</v>
      </c>
      <c r="Q29" s="1" t="s">
        <v>34</v>
      </c>
      <c r="R29" s="1" t="s">
        <v>34</v>
      </c>
      <c r="S29" s="1" t="s">
        <v>34</v>
      </c>
      <c r="T29" s="1" t="s">
        <v>36</v>
      </c>
      <c r="U29" s="1" t="s">
        <v>1213</v>
      </c>
      <c r="V29" s="1" t="s">
        <v>1210</v>
      </c>
      <c r="W29" s="1" t="s">
        <v>1213</v>
      </c>
      <c r="X29" s="1" t="s">
        <v>1213</v>
      </c>
    </row>
    <row r="30" spans="1:24" ht="50.1" customHeight="1" x14ac:dyDescent="0.25">
      <c r="A30" s="1" t="s">
        <v>943</v>
      </c>
      <c r="B30" s="5" t="s">
        <v>1358</v>
      </c>
      <c r="C30" s="2" t="s">
        <v>816</v>
      </c>
      <c r="D30" s="2" t="s">
        <v>48</v>
      </c>
      <c r="E30" s="2" t="s">
        <v>48</v>
      </c>
      <c r="F30" s="3">
        <v>8669774296</v>
      </c>
      <c r="G30" s="4" t="s">
        <v>957</v>
      </c>
      <c r="H30" s="1" t="s">
        <v>34</v>
      </c>
      <c r="I30" s="1">
        <v>831865</v>
      </c>
      <c r="J30" s="1" t="s">
        <v>48</v>
      </c>
      <c r="K30" s="1" t="s">
        <v>35</v>
      </c>
      <c r="L30" s="1" t="s">
        <v>961</v>
      </c>
      <c r="M30" s="1" t="s">
        <v>2</v>
      </c>
      <c r="N30" s="1" t="s">
        <v>3</v>
      </c>
      <c r="O30" s="1" t="s">
        <v>0</v>
      </c>
      <c r="P30" s="1" t="s">
        <v>1</v>
      </c>
      <c r="Q30" s="1" t="s">
        <v>36</v>
      </c>
      <c r="R30" s="1" t="s">
        <v>34</v>
      </c>
      <c r="S30" s="1" t="s">
        <v>34</v>
      </c>
      <c r="T30" s="1" t="s">
        <v>36</v>
      </c>
      <c r="U30" s="1" t="s">
        <v>1213</v>
      </c>
      <c r="V30" s="1" t="s">
        <v>34</v>
      </c>
      <c r="W30" s="1" t="s">
        <v>1126</v>
      </c>
      <c r="X30" s="1" t="s">
        <v>1125</v>
      </c>
    </row>
    <row r="31" spans="1:24" ht="50.1" customHeight="1" x14ac:dyDescent="0.25">
      <c r="A31" s="1" t="s">
        <v>1232</v>
      </c>
      <c r="B31" s="5" t="s">
        <v>709</v>
      </c>
      <c r="C31" s="2" t="s">
        <v>710</v>
      </c>
      <c r="D31" s="2" t="s">
        <v>48</v>
      </c>
      <c r="E31" s="2" t="s">
        <v>48</v>
      </c>
      <c r="F31" s="3">
        <v>3104222908</v>
      </c>
      <c r="G31" s="4" t="s">
        <v>48</v>
      </c>
      <c r="H31" s="1" t="s">
        <v>34</v>
      </c>
      <c r="I31" s="1">
        <v>632049</v>
      </c>
      <c r="J31" s="1" t="s">
        <v>48</v>
      </c>
      <c r="K31" s="1" t="s">
        <v>35</v>
      </c>
      <c r="L31" s="1" t="s">
        <v>961</v>
      </c>
      <c r="M31" s="1" t="s">
        <v>2</v>
      </c>
      <c r="N31" s="1" t="s">
        <v>3</v>
      </c>
      <c r="O31" s="1" t="s">
        <v>0</v>
      </c>
      <c r="Q31" s="1" t="s">
        <v>36</v>
      </c>
      <c r="R31" s="1" t="s">
        <v>36</v>
      </c>
      <c r="S31" s="1" t="s">
        <v>36</v>
      </c>
      <c r="T31" s="1" t="s">
        <v>36</v>
      </c>
      <c r="U31" s="1" t="s">
        <v>1213</v>
      </c>
      <c r="V31" s="1" t="s">
        <v>34</v>
      </c>
      <c r="W31" s="1" t="s">
        <v>711</v>
      </c>
      <c r="X31" s="1" t="s">
        <v>1074</v>
      </c>
    </row>
    <row r="32" spans="1:24" ht="50.1" customHeight="1" x14ac:dyDescent="0.25">
      <c r="A32" s="1" t="s">
        <v>928</v>
      </c>
      <c r="B32" s="5" t="s">
        <v>778</v>
      </c>
      <c r="C32" s="2" t="s">
        <v>779</v>
      </c>
      <c r="D32" s="2" t="s">
        <v>48</v>
      </c>
      <c r="E32" s="2" t="s">
        <v>48</v>
      </c>
      <c r="F32" s="3">
        <v>8313204890</v>
      </c>
      <c r="G32" s="4" t="s">
        <v>48</v>
      </c>
      <c r="H32" s="1" t="s">
        <v>34</v>
      </c>
      <c r="I32" s="1">
        <v>996617</v>
      </c>
      <c r="J32" s="1" t="s">
        <v>48</v>
      </c>
      <c r="K32" s="1" t="s">
        <v>35</v>
      </c>
      <c r="L32" s="1" t="s">
        <v>961</v>
      </c>
      <c r="M32" s="1" t="s">
        <v>2</v>
      </c>
      <c r="O32" s="1" t="s">
        <v>0</v>
      </c>
      <c r="Q32" s="1" t="s">
        <v>34</v>
      </c>
      <c r="R32" s="1" t="s">
        <v>34</v>
      </c>
      <c r="S32" s="1" t="s">
        <v>34</v>
      </c>
      <c r="T32" s="1" t="s">
        <v>34</v>
      </c>
      <c r="U32" s="1" t="s">
        <v>1127</v>
      </c>
      <c r="V32" s="1" t="s">
        <v>1210</v>
      </c>
      <c r="W32" s="1" t="s">
        <v>1213</v>
      </c>
      <c r="X32" s="1" t="s">
        <v>994</v>
      </c>
    </row>
    <row r="33" spans="1:24" ht="50.1" customHeight="1" x14ac:dyDescent="0.25">
      <c r="A33" s="1" t="s">
        <v>549</v>
      </c>
      <c r="B33" s="5" t="s">
        <v>1359</v>
      </c>
      <c r="C33" s="2" t="s">
        <v>551</v>
      </c>
      <c r="D33" s="2" t="s">
        <v>48</v>
      </c>
      <c r="E33" s="2" t="s">
        <v>48</v>
      </c>
      <c r="F33" s="3">
        <v>9084893933</v>
      </c>
      <c r="G33" s="4" t="s">
        <v>48</v>
      </c>
      <c r="H33" s="1" t="s">
        <v>34</v>
      </c>
      <c r="I33" s="1">
        <v>1029267</v>
      </c>
      <c r="J33" s="1" t="s">
        <v>48</v>
      </c>
      <c r="Q33" s="1" t="s">
        <v>36</v>
      </c>
      <c r="R33" s="1" t="s">
        <v>36</v>
      </c>
      <c r="S33" s="1" t="s">
        <v>36</v>
      </c>
      <c r="T33" s="1" t="s">
        <v>36</v>
      </c>
      <c r="U33" s="1" t="s">
        <v>1213</v>
      </c>
      <c r="V33" s="1" t="s">
        <v>1210</v>
      </c>
      <c r="W33" s="1" t="s">
        <v>1213</v>
      </c>
      <c r="X33" s="1" t="s">
        <v>552</v>
      </c>
    </row>
    <row r="34" spans="1:24" ht="50.1" customHeight="1" x14ac:dyDescent="0.25">
      <c r="A34" s="1" t="s">
        <v>202</v>
      </c>
      <c r="B34" s="5" t="s">
        <v>203</v>
      </c>
      <c r="C34" s="2" t="s">
        <v>204</v>
      </c>
      <c r="D34" s="2" t="s">
        <v>48</v>
      </c>
      <c r="E34" s="2" t="s">
        <v>48</v>
      </c>
      <c r="F34" s="3">
        <v>4153630101</v>
      </c>
      <c r="G34" s="4" t="s">
        <v>48</v>
      </c>
      <c r="H34" s="1" t="s">
        <v>34</v>
      </c>
      <c r="I34" s="1">
        <v>1014967</v>
      </c>
      <c r="J34" s="1" t="s">
        <v>48</v>
      </c>
      <c r="K34" s="1" t="s">
        <v>35</v>
      </c>
      <c r="O34" s="1" t="s">
        <v>0</v>
      </c>
      <c r="Q34" s="1" t="s">
        <v>34</v>
      </c>
      <c r="R34" s="1" t="s">
        <v>36</v>
      </c>
      <c r="S34" s="1" t="s">
        <v>34</v>
      </c>
      <c r="T34" s="1" t="s">
        <v>34</v>
      </c>
      <c r="U34" s="1">
        <v>1</v>
      </c>
      <c r="V34" s="1" t="s">
        <v>1210</v>
      </c>
      <c r="W34" s="1" t="s">
        <v>1213</v>
      </c>
      <c r="X34" s="1">
        <v>1</v>
      </c>
    </row>
    <row r="35" spans="1:24" ht="50.1" customHeight="1" x14ac:dyDescent="0.25">
      <c r="A35" s="1" t="s">
        <v>851</v>
      </c>
      <c r="B35" s="5" t="s">
        <v>570</v>
      </c>
      <c r="C35" s="2" t="s">
        <v>571</v>
      </c>
      <c r="D35" s="2" t="s">
        <v>48</v>
      </c>
      <c r="E35" s="2" t="s">
        <v>48</v>
      </c>
      <c r="F35" s="3">
        <v>8057083654</v>
      </c>
      <c r="G35" s="4" t="s">
        <v>48</v>
      </c>
      <c r="H35" s="1" t="s">
        <v>34</v>
      </c>
      <c r="I35" s="1">
        <v>1009246</v>
      </c>
      <c r="J35" s="1" t="s">
        <v>48</v>
      </c>
      <c r="K35" s="1" t="s">
        <v>35</v>
      </c>
      <c r="L35" s="1" t="s">
        <v>961</v>
      </c>
      <c r="M35" s="1" t="s">
        <v>2</v>
      </c>
      <c r="O35" s="1" t="s">
        <v>0</v>
      </c>
      <c r="Q35" s="1" t="s">
        <v>36</v>
      </c>
      <c r="R35" s="1" t="s">
        <v>36</v>
      </c>
      <c r="S35" s="1" t="s">
        <v>34</v>
      </c>
      <c r="T35" s="1" t="s">
        <v>36</v>
      </c>
      <c r="U35" s="1" t="s">
        <v>1213</v>
      </c>
      <c r="V35" s="1" t="s">
        <v>1210</v>
      </c>
      <c r="W35" s="1" t="s">
        <v>1213</v>
      </c>
      <c r="X35" s="1" t="s">
        <v>1213</v>
      </c>
    </row>
    <row r="36" spans="1:24" ht="50.1" customHeight="1" x14ac:dyDescent="0.25">
      <c r="A36" s="1" t="s">
        <v>882</v>
      </c>
      <c r="B36" s="5" t="s">
        <v>821</v>
      </c>
      <c r="C36" s="2" t="s">
        <v>666</v>
      </c>
      <c r="D36" s="2" t="s">
        <v>48</v>
      </c>
      <c r="E36" s="2" t="s">
        <v>48</v>
      </c>
      <c r="F36" s="3">
        <v>8009775323</v>
      </c>
      <c r="G36" s="4">
        <v>5302728277</v>
      </c>
      <c r="H36" s="1" t="s">
        <v>34</v>
      </c>
      <c r="I36" s="1">
        <v>518784</v>
      </c>
      <c r="J36" s="1" t="s">
        <v>48</v>
      </c>
      <c r="K36" s="1" t="s">
        <v>35</v>
      </c>
      <c r="L36" s="1" t="s">
        <v>961</v>
      </c>
      <c r="M36" s="1" t="s">
        <v>2</v>
      </c>
      <c r="N36" s="1" t="s">
        <v>3</v>
      </c>
      <c r="O36" s="1" t="s">
        <v>0</v>
      </c>
      <c r="Q36" s="1" t="s">
        <v>34</v>
      </c>
      <c r="R36" s="1" t="s">
        <v>34</v>
      </c>
      <c r="S36" s="1" t="s">
        <v>34</v>
      </c>
      <c r="T36" s="1" t="s">
        <v>34</v>
      </c>
      <c r="U36" s="1" t="s">
        <v>667</v>
      </c>
      <c r="V36" s="1" t="s">
        <v>1210</v>
      </c>
      <c r="W36" s="1" t="s">
        <v>1213</v>
      </c>
      <c r="X36" s="1" t="s">
        <v>1075</v>
      </c>
    </row>
    <row r="37" spans="1:24" ht="50.1" customHeight="1" x14ac:dyDescent="0.25">
      <c r="A37" s="1" t="s">
        <v>217</v>
      </c>
      <c r="B37" s="5" t="s">
        <v>218</v>
      </c>
      <c r="C37" s="2" t="s">
        <v>219</v>
      </c>
      <c r="D37" s="2" t="s">
        <v>48</v>
      </c>
      <c r="E37" s="2" t="s">
        <v>48</v>
      </c>
      <c r="F37" s="3">
        <v>5596679200</v>
      </c>
      <c r="G37" s="4" t="s">
        <v>48</v>
      </c>
      <c r="H37" s="1" t="s">
        <v>34</v>
      </c>
      <c r="I37" s="1">
        <v>986500</v>
      </c>
      <c r="J37" s="1" t="s">
        <v>48</v>
      </c>
      <c r="K37" s="1" t="s">
        <v>35</v>
      </c>
      <c r="M37" s="1" t="s">
        <v>2</v>
      </c>
      <c r="O37" s="1" t="s">
        <v>0</v>
      </c>
      <c r="P37" s="1" t="s">
        <v>1</v>
      </c>
      <c r="Q37" s="1" t="s">
        <v>34</v>
      </c>
      <c r="R37" s="1" t="s">
        <v>36</v>
      </c>
      <c r="S37" s="1" t="s">
        <v>34</v>
      </c>
      <c r="T37" s="1" t="s">
        <v>36</v>
      </c>
      <c r="U37" s="1" t="s">
        <v>1213</v>
      </c>
      <c r="V37" s="1" t="s">
        <v>34</v>
      </c>
      <c r="W37" s="1" t="s">
        <v>1128</v>
      </c>
      <c r="X37" s="1" t="s">
        <v>1076</v>
      </c>
    </row>
    <row r="38" spans="1:24" ht="50.1" customHeight="1" x14ac:dyDescent="0.25">
      <c r="A38" s="1" t="s">
        <v>463</v>
      </c>
      <c r="B38" s="5" t="s">
        <v>1362</v>
      </c>
      <c r="C38" s="2" t="s">
        <v>996</v>
      </c>
      <c r="D38" s="2" t="s">
        <v>48</v>
      </c>
      <c r="E38" s="2" t="s">
        <v>48</v>
      </c>
      <c r="F38" s="3">
        <v>8056891479</v>
      </c>
      <c r="G38" s="4" t="s">
        <v>48</v>
      </c>
      <c r="H38" s="1" t="s">
        <v>34</v>
      </c>
      <c r="I38" s="1">
        <v>486924</v>
      </c>
      <c r="J38" s="1" t="s">
        <v>48</v>
      </c>
      <c r="K38" s="1" t="s">
        <v>35</v>
      </c>
      <c r="M38" s="1" t="s">
        <v>2</v>
      </c>
      <c r="N38" s="1" t="s">
        <v>3</v>
      </c>
      <c r="O38" s="1" t="s">
        <v>0</v>
      </c>
      <c r="Q38" s="1" t="s">
        <v>34</v>
      </c>
      <c r="R38" s="1" t="s">
        <v>34</v>
      </c>
      <c r="S38" s="1" t="s">
        <v>34</v>
      </c>
      <c r="T38" s="1" t="s">
        <v>34</v>
      </c>
      <c r="U38" s="1" t="s">
        <v>464</v>
      </c>
      <c r="V38" s="1" t="s">
        <v>1210</v>
      </c>
      <c r="W38" s="1" t="s">
        <v>1213</v>
      </c>
      <c r="X38" s="1" t="s">
        <v>1213</v>
      </c>
    </row>
    <row r="39" spans="1:24" ht="50.1" customHeight="1" x14ac:dyDescent="0.25">
      <c r="A39" s="1" t="s">
        <v>505</v>
      </c>
      <c r="B39" s="5" t="s">
        <v>506</v>
      </c>
      <c r="C39" s="2" t="s">
        <v>507</v>
      </c>
      <c r="D39" s="2" t="s">
        <v>997</v>
      </c>
      <c r="E39" s="2" t="s">
        <v>48</v>
      </c>
      <c r="F39" s="3">
        <v>5302743671</v>
      </c>
      <c r="G39" s="4" t="s">
        <v>48</v>
      </c>
      <c r="H39" s="1" t="s">
        <v>34</v>
      </c>
      <c r="I39" s="1">
        <v>779624</v>
      </c>
      <c r="J39" s="1" t="s">
        <v>48</v>
      </c>
      <c r="K39" s="1" t="s">
        <v>35</v>
      </c>
      <c r="L39" s="1" t="s">
        <v>961</v>
      </c>
      <c r="M39" s="1" t="s">
        <v>2</v>
      </c>
      <c r="N39" s="1" t="s">
        <v>3</v>
      </c>
      <c r="O39" s="1" t="s">
        <v>0</v>
      </c>
      <c r="P39" s="1" t="s">
        <v>1</v>
      </c>
      <c r="Q39" s="1" t="s">
        <v>34</v>
      </c>
      <c r="R39" s="1" t="s">
        <v>34</v>
      </c>
      <c r="S39" s="1" t="s">
        <v>34</v>
      </c>
      <c r="T39" s="1" t="s">
        <v>34</v>
      </c>
      <c r="U39" s="1" t="s">
        <v>508</v>
      </c>
      <c r="V39" s="1" t="s">
        <v>34</v>
      </c>
      <c r="W39" s="1" t="s">
        <v>510</v>
      </c>
      <c r="X39" s="1" t="s">
        <v>509</v>
      </c>
    </row>
    <row r="40" spans="1:24" ht="50.1" customHeight="1" x14ac:dyDescent="0.25">
      <c r="A40" s="1" t="s">
        <v>497</v>
      </c>
      <c r="B40" s="5" t="s">
        <v>498</v>
      </c>
      <c r="C40" s="2" t="s">
        <v>499</v>
      </c>
      <c r="D40" s="2" t="s">
        <v>48</v>
      </c>
      <c r="E40" s="2" t="s">
        <v>48</v>
      </c>
      <c r="F40" s="3">
        <v>8007847612</v>
      </c>
      <c r="G40" s="4" t="s">
        <v>48</v>
      </c>
      <c r="H40" s="1" t="s">
        <v>34</v>
      </c>
      <c r="I40" s="1">
        <v>1004246</v>
      </c>
      <c r="J40" s="1" t="s">
        <v>48</v>
      </c>
      <c r="K40" s="1" t="s">
        <v>35</v>
      </c>
      <c r="O40" s="1" t="s">
        <v>0</v>
      </c>
      <c r="P40" s="1" t="s">
        <v>1</v>
      </c>
      <c r="Q40" s="1" t="s">
        <v>34</v>
      </c>
      <c r="R40" s="1" t="s">
        <v>34</v>
      </c>
      <c r="S40" s="1" t="s">
        <v>34</v>
      </c>
      <c r="T40" s="1" t="s">
        <v>34</v>
      </c>
      <c r="U40" s="1" t="s">
        <v>1129</v>
      </c>
      <c r="V40" s="1" t="s">
        <v>34</v>
      </c>
      <c r="W40" s="1" t="s">
        <v>500</v>
      </c>
      <c r="X40" s="1" t="s">
        <v>998</v>
      </c>
    </row>
    <row r="41" spans="1:24" ht="50.1" customHeight="1" x14ac:dyDescent="0.25">
      <c r="A41" s="1" t="s">
        <v>1231</v>
      </c>
      <c r="B41" s="5" t="s">
        <v>733</v>
      </c>
      <c r="C41" s="2" t="s">
        <v>999</v>
      </c>
      <c r="D41" s="2" t="s">
        <v>48</v>
      </c>
      <c r="E41" s="2" t="s">
        <v>48</v>
      </c>
      <c r="F41" s="3">
        <v>8557758775</v>
      </c>
      <c r="G41" s="4" t="s">
        <v>48</v>
      </c>
      <c r="H41" s="1" t="s">
        <v>34</v>
      </c>
      <c r="I41" s="1">
        <v>1049108</v>
      </c>
      <c r="J41" s="1" t="s">
        <v>48</v>
      </c>
      <c r="K41" s="1" t="s">
        <v>35</v>
      </c>
      <c r="M41" s="1" t="s">
        <v>2</v>
      </c>
      <c r="O41" s="1" t="s">
        <v>0</v>
      </c>
      <c r="Q41" s="1" t="s">
        <v>34</v>
      </c>
      <c r="R41" s="1" t="s">
        <v>34</v>
      </c>
      <c r="S41" s="1" t="s">
        <v>34</v>
      </c>
      <c r="T41" s="1" t="s">
        <v>34</v>
      </c>
      <c r="U41" s="1" t="s">
        <v>1130</v>
      </c>
      <c r="V41" s="1" t="s">
        <v>1210</v>
      </c>
      <c r="W41" s="1" t="s">
        <v>1213</v>
      </c>
      <c r="X41" s="1" t="s">
        <v>1109</v>
      </c>
    </row>
    <row r="42" spans="1:24" ht="50.1" customHeight="1" x14ac:dyDescent="0.25">
      <c r="A42" s="1" t="s">
        <v>926</v>
      </c>
      <c r="B42" s="5" t="s">
        <v>772</v>
      </c>
      <c r="C42" s="2" t="s">
        <v>773</v>
      </c>
      <c r="D42" s="2" t="s">
        <v>48</v>
      </c>
      <c r="E42" s="2" t="s">
        <v>48</v>
      </c>
      <c r="F42" s="3">
        <v>8052390111</v>
      </c>
      <c r="G42" s="4" t="s">
        <v>48</v>
      </c>
      <c r="H42" s="1" t="s">
        <v>34</v>
      </c>
      <c r="I42" s="1">
        <v>993428</v>
      </c>
      <c r="J42" s="1" t="s">
        <v>48</v>
      </c>
      <c r="K42" s="1" t="s">
        <v>35</v>
      </c>
      <c r="L42" s="1" t="s">
        <v>961</v>
      </c>
      <c r="M42" s="1" t="s">
        <v>2</v>
      </c>
      <c r="N42" s="1" t="s">
        <v>3</v>
      </c>
      <c r="O42" s="1" t="s">
        <v>0</v>
      </c>
      <c r="Q42" s="1" t="s">
        <v>36</v>
      </c>
      <c r="R42" s="1" t="s">
        <v>34</v>
      </c>
      <c r="S42" s="1" t="s">
        <v>34</v>
      </c>
      <c r="T42" s="1" t="s">
        <v>34</v>
      </c>
      <c r="U42" s="1" t="s">
        <v>1131</v>
      </c>
      <c r="V42" s="1" t="s">
        <v>34</v>
      </c>
      <c r="W42" s="1" t="s">
        <v>774</v>
      </c>
      <c r="X42" s="1" t="s">
        <v>1132</v>
      </c>
    </row>
    <row r="43" spans="1:24" ht="50.1" customHeight="1" x14ac:dyDescent="0.25">
      <c r="A43" s="1" t="s">
        <v>923</v>
      </c>
      <c r="B43" s="5" t="s">
        <v>924</v>
      </c>
      <c r="C43" s="2" t="s">
        <v>768</v>
      </c>
      <c r="D43" s="2" t="s">
        <v>48</v>
      </c>
      <c r="E43" s="2" t="s">
        <v>48</v>
      </c>
      <c r="F43" s="3">
        <v>9167823333</v>
      </c>
      <c r="G43" s="4" t="s">
        <v>48</v>
      </c>
      <c r="H43" s="1" t="s">
        <v>34</v>
      </c>
      <c r="I43" s="1">
        <v>1018035</v>
      </c>
      <c r="J43" s="1" t="s">
        <v>48</v>
      </c>
      <c r="K43" s="1" t="s">
        <v>35</v>
      </c>
      <c r="L43" s="1" t="s">
        <v>961</v>
      </c>
      <c r="M43" s="1" t="s">
        <v>2</v>
      </c>
      <c r="N43" s="1" t="s">
        <v>3</v>
      </c>
      <c r="O43" s="1" t="s">
        <v>0</v>
      </c>
      <c r="P43" s="1" t="s">
        <v>1</v>
      </c>
      <c r="Q43" s="1" t="s">
        <v>34</v>
      </c>
      <c r="R43" s="1" t="s">
        <v>34</v>
      </c>
      <c r="S43" s="1" t="s">
        <v>34</v>
      </c>
      <c r="T43" s="1" t="s">
        <v>34</v>
      </c>
      <c r="U43" s="1" t="s">
        <v>769</v>
      </c>
      <c r="V43" s="1" t="s">
        <v>1210</v>
      </c>
      <c r="W43" s="1" t="s">
        <v>1213</v>
      </c>
      <c r="X43" s="1" t="s">
        <v>1213</v>
      </c>
    </row>
    <row r="44" spans="1:24" ht="50.1" customHeight="1" x14ac:dyDescent="0.25">
      <c r="A44" s="1" t="s">
        <v>60</v>
      </c>
      <c r="B44" s="5" t="s">
        <v>1360</v>
      </c>
      <c r="C44" s="2" t="s">
        <v>62</v>
      </c>
      <c r="D44" s="2" t="s">
        <v>48</v>
      </c>
      <c r="E44" s="2" t="s">
        <v>48</v>
      </c>
      <c r="F44" s="3">
        <v>4088447149</v>
      </c>
      <c r="G44" s="4" t="s">
        <v>48</v>
      </c>
      <c r="H44" s="1" t="s">
        <v>34</v>
      </c>
      <c r="I44" s="1">
        <v>913360</v>
      </c>
      <c r="J44" s="1" t="s">
        <v>48</v>
      </c>
      <c r="K44" s="1" t="s">
        <v>35</v>
      </c>
      <c r="L44" s="1" t="s">
        <v>961</v>
      </c>
      <c r="M44" s="1" t="s">
        <v>2</v>
      </c>
      <c r="N44" s="1" t="s">
        <v>3</v>
      </c>
      <c r="O44" s="1" t="s">
        <v>0</v>
      </c>
      <c r="P44" s="1" t="s">
        <v>1</v>
      </c>
      <c r="Q44" s="1" t="s">
        <v>34</v>
      </c>
      <c r="R44" s="1" t="s">
        <v>34</v>
      </c>
      <c r="S44" s="1" t="s">
        <v>34</v>
      </c>
      <c r="T44" s="1" t="s">
        <v>36</v>
      </c>
      <c r="U44" s="1" t="s">
        <v>1213</v>
      </c>
      <c r="V44" s="1" t="s">
        <v>1210</v>
      </c>
      <c r="W44" s="1" t="s">
        <v>1213</v>
      </c>
      <c r="X44" s="1" t="s">
        <v>1213</v>
      </c>
    </row>
    <row r="45" spans="1:24" ht="50.1" customHeight="1" x14ac:dyDescent="0.25">
      <c r="A45" s="1" t="s">
        <v>205</v>
      </c>
      <c r="B45" s="5" t="s">
        <v>206</v>
      </c>
      <c r="C45" s="2" t="s">
        <v>207</v>
      </c>
      <c r="D45" s="2" t="s">
        <v>48</v>
      </c>
      <c r="E45" s="2" t="s">
        <v>48</v>
      </c>
      <c r="F45" s="3">
        <v>5308911933</v>
      </c>
      <c r="G45" s="4" t="s">
        <v>48</v>
      </c>
      <c r="H45" s="1" t="s">
        <v>34</v>
      </c>
      <c r="I45" s="1">
        <v>454345</v>
      </c>
      <c r="J45" s="1" t="s">
        <v>48</v>
      </c>
      <c r="L45" s="1" t="s">
        <v>44</v>
      </c>
      <c r="N45" s="1" t="s">
        <v>3</v>
      </c>
      <c r="Q45" s="1" t="s">
        <v>34</v>
      </c>
      <c r="R45" s="1" t="s">
        <v>34</v>
      </c>
      <c r="S45" s="1" t="s">
        <v>34</v>
      </c>
      <c r="T45" s="1" t="s">
        <v>36</v>
      </c>
      <c r="U45" s="1" t="s">
        <v>1213</v>
      </c>
      <c r="V45" s="1" t="s">
        <v>1210</v>
      </c>
      <c r="W45" s="1" t="s">
        <v>1213</v>
      </c>
      <c r="X45" s="1" t="s">
        <v>1213</v>
      </c>
    </row>
    <row r="46" spans="1:24" ht="50.1" customHeight="1" x14ac:dyDescent="0.25">
      <c r="A46" s="1" t="s">
        <v>1230</v>
      </c>
      <c r="B46" s="5" t="s">
        <v>1361</v>
      </c>
      <c r="C46" s="2" t="s">
        <v>1001</v>
      </c>
      <c r="D46" s="2" t="s">
        <v>48</v>
      </c>
      <c r="E46" s="2" t="s">
        <v>48</v>
      </c>
      <c r="F46" s="3">
        <v>4088837000</v>
      </c>
      <c r="G46" s="4" t="s">
        <v>48</v>
      </c>
      <c r="H46" s="1" t="s">
        <v>34</v>
      </c>
      <c r="I46" s="1">
        <v>976065</v>
      </c>
      <c r="J46" s="1" t="s">
        <v>48</v>
      </c>
      <c r="K46" s="1" t="s">
        <v>35</v>
      </c>
      <c r="L46" s="1" t="s">
        <v>961</v>
      </c>
      <c r="M46" s="1" t="s">
        <v>2</v>
      </c>
      <c r="N46" s="1" t="s">
        <v>3</v>
      </c>
      <c r="O46" s="1" t="s">
        <v>0</v>
      </c>
      <c r="Q46" s="1" t="s">
        <v>34</v>
      </c>
      <c r="R46" s="1" t="s">
        <v>34</v>
      </c>
      <c r="S46" s="1" t="s">
        <v>34</v>
      </c>
      <c r="T46" s="1" t="s">
        <v>34</v>
      </c>
      <c r="U46" s="1" t="s">
        <v>971</v>
      </c>
      <c r="V46" s="1" t="s">
        <v>34</v>
      </c>
      <c r="W46" s="1" t="s">
        <v>822</v>
      </c>
      <c r="X46" s="1" t="s">
        <v>1213</v>
      </c>
    </row>
    <row r="47" spans="1:24" ht="50.1" customHeight="1" x14ac:dyDescent="0.25">
      <c r="A47" s="1" t="s">
        <v>199</v>
      </c>
      <c r="B47" s="5" t="s">
        <v>200</v>
      </c>
      <c r="C47" s="2" t="s">
        <v>201</v>
      </c>
      <c r="D47" s="2" t="s">
        <v>48</v>
      </c>
      <c r="E47" s="2" t="s">
        <v>48</v>
      </c>
      <c r="F47" s="3">
        <v>7074465500</v>
      </c>
      <c r="G47" s="4" t="s">
        <v>48</v>
      </c>
      <c r="H47" s="1" t="s">
        <v>34</v>
      </c>
      <c r="I47" s="1">
        <v>647149</v>
      </c>
      <c r="J47" s="1" t="s">
        <v>48</v>
      </c>
      <c r="K47" s="1" t="s">
        <v>35</v>
      </c>
      <c r="L47" s="1" t="s">
        <v>961</v>
      </c>
      <c r="M47" s="1" t="s">
        <v>2</v>
      </c>
      <c r="N47" s="1" t="s">
        <v>3</v>
      </c>
      <c r="O47" s="1" t="s">
        <v>0</v>
      </c>
      <c r="Q47" s="1" t="s">
        <v>34</v>
      </c>
      <c r="R47" s="1" t="s">
        <v>34</v>
      </c>
      <c r="S47" s="1" t="s">
        <v>34</v>
      </c>
      <c r="T47" s="1" t="s">
        <v>36</v>
      </c>
      <c r="U47" s="1" t="s">
        <v>1213</v>
      </c>
      <c r="V47" s="1" t="s">
        <v>1210</v>
      </c>
      <c r="W47" s="1" t="s">
        <v>1213</v>
      </c>
      <c r="X47" s="1" t="s">
        <v>1213</v>
      </c>
    </row>
    <row r="48" spans="1:24" ht="50.1" customHeight="1" x14ac:dyDescent="0.25">
      <c r="A48" s="1" t="s">
        <v>865</v>
      </c>
      <c r="B48" s="5" t="s">
        <v>1002</v>
      </c>
      <c r="C48" s="2" t="s">
        <v>1003</v>
      </c>
      <c r="D48" s="2" t="s">
        <v>48</v>
      </c>
      <c r="E48" s="2" t="s">
        <v>48</v>
      </c>
      <c r="F48" s="3">
        <v>4157295575</v>
      </c>
      <c r="G48" s="4" t="s">
        <v>48</v>
      </c>
      <c r="H48" s="1" t="s">
        <v>34</v>
      </c>
      <c r="I48" s="1">
        <v>965327</v>
      </c>
      <c r="J48" s="1" t="s">
        <v>48</v>
      </c>
      <c r="K48" s="1" t="s">
        <v>35</v>
      </c>
      <c r="M48" s="1" t="s">
        <v>2</v>
      </c>
      <c r="N48" s="1" t="s">
        <v>3</v>
      </c>
      <c r="O48" s="1" t="s">
        <v>0</v>
      </c>
      <c r="Q48" s="1" t="s">
        <v>36</v>
      </c>
      <c r="R48" s="1" t="s">
        <v>34</v>
      </c>
      <c r="S48" s="1" t="s">
        <v>34</v>
      </c>
      <c r="T48" s="1" t="s">
        <v>34</v>
      </c>
      <c r="U48" s="1" t="s">
        <v>620</v>
      </c>
      <c r="V48" s="1" t="s">
        <v>34</v>
      </c>
      <c r="W48" s="1" t="s">
        <v>621</v>
      </c>
      <c r="X48" s="1" t="s">
        <v>1213</v>
      </c>
    </row>
    <row r="49" spans="1:24" ht="50.1" customHeight="1" x14ac:dyDescent="0.25">
      <c r="A49" s="1" t="s">
        <v>451</v>
      </c>
      <c r="B49" s="5" t="s">
        <v>452</v>
      </c>
      <c r="C49" s="2" t="s">
        <v>453</v>
      </c>
      <c r="D49" s="2" t="s">
        <v>48</v>
      </c>
      <c r="E49" s="2" t="s">
        <v>48</v>
      </c>
      <c r="F49" s="3">
        <v>8885517652</v>
      </c>
      <c r="G49" s="4" t="s">
        <v>48</v>
      </c>
      <c r="H49" s="1" t="s">
        <v>34</v>
      </c>
      <c r="I49" s="1">
        <v>910849</v>
      </c>
      <c r="J49" s="1" t="s">
        <v>48</v>
      </c>
      <c r="K49" s="1" t="s">
        <v>35</v>
      </c>
      <c r="L49" s="1" t="s">
        <v>961</v>
      </c>
      <c r="M49" s="1" t="s">
        <v>2</v>
      </c>
      <c r="N49" s="1" t="s">
        <v>3</v>
      </c>
      <c r="O49" s="1" t="s">
        <v>0</v>
      </c>
      <c r="Q49" s="1" t="s">
        <v>1210</v>
      </c>
      <c r="R49" s="1" t="s">
        <v>1210</v>
      </c>
      <c r="S49" s="1" t="s">
        <v>1210</v>
      </c>
      <c r="T49" s="1" t="s">
        <v>36</v>
      </c>
      <c r="U49" s="1" t="s">
        <v>1213</v>
      </c>
      <c r="V49" s="1" t="s">
        <v>1210</v>
      </c>
      <c r="W49" s="1" t="s">
        <v>1213</v>
      </c>
      <c r="X49" s="1" t="s">
        <v>1213</v>
      </c>
    </row>
    <row r="50" spans="1:24" ht="50.1" customHeight="1" x14ac:dyDescent="0.25">
      <c r="A50" s="1" t="s">
        <v>374</v>
      </c>
      <c r="B50" s="5" t="s">
        <v>375</v>
      </c>
      <c r="C50" s="2" t="s">
        <v>376</v>
      </c>
      <c r="D50" s="2" t="s">
        <v>48</v>
      </c>
      <c r="E50" s="2" t="s">
        <v>48</v>
      </c>
      <c r="F50" s="3">
        <v>7607441001</v>
      </c>
      <c r="G50" s="4" t="s">
        <v>48</v>
      </c>
      <c r="H50" s="1" t="s">
        <v>34</v>
      </c>
      <c r="I50" s="1">
        <v>910460</v>
      </c>
      <c r="J50" s="1" t="s">
        <v>48</v>
      </c>
      <c r="K50" s="1" t="s">
        <v>35</v>
      </c>
      <c r="L50" s="1" t="s">
        <v>961</v>
      </c>
      <c r="M50" s="1" t="s">
        <v>2</v>
      </c>
      <c r="N50" s="1" t="s">
        <v>3</v>
      </c>
      <c r="O50" s="1" t="s">
        <v>0</v>
      </c>
      <c r="Q50" s="1" t="s">
        <v>1210</v>
      </c>
      <c r="R50" s="1" t="s">
        <v>1210</v>
      </c>
      <c r="S50" s="1" t="s">
        <v>1210</v>
      </c>
      <c r="T50" s="1" t="s">
        <v>36</v>
      </c>
      <c r="U50" s="1" t="s">
        <v>1213</v>
      </c>
      <c r="V50" s="1" t="s">
        <v>1210</v>
      </c>
      <c r="W50" s="1" t="s">
        <v>1213</v>
      </c>
      <c r="X50" s="1" t="s">
        <v>1213</v>
      </c>
    </row>
    <row r="51" spans="1:24" ht="50.1" customHeight="1" x14ac:dyDescent="0.25">
      <c r="A51" s="1" t="s">
        <v>397</v>
      </c>
      <c r="B51" s="5" t="s">
        <v>1363</v>
      </c>
      <c r="C51" s="2" t="s">
        <v>399</v>
      </c>
      <c r="D51" s="2" t="s">
        <v>48</v>
      </c>
      <c r="E51" s="2" t="s">
        <v>48</v>
      </c>
      <c r="F51" s="3">
        <v>4243539997</v>
      </c>
      <c r="G51" s="4" t="s">
        <v>48</v>
      </c>
      <c r="H51" s="1" t="s">
        <v>34</v>
      </c>
      <c r="I51" s="1">
        <v>1054022</v>
      </c>
      <c r="J51" s="1" t="s">
        <v>48</v>
      </c>
      <c r="K51" s="1" t="s">
        <v>35</v>
      </c>
      <c r="M51" s="1" t="s">
        <v>2</v>
      </c>
      <c r="O51" s="1" t="s">
        <v>0</v>
      </c>
      <c r="Q51" s="1" t="s">
        <v>1210</v>
      </c>
      <c r="R51" s="1" t="s">
        <v>1210</v>
      </c>
      <c r="S51" s="1" t="s">
        <v>1210</v>
      </c>
      <c r="T51" s="1" t="s">
        <v>34</v>
      </c>
      <c r="U51" s="1" t="s">
        <v>1213</v>
      </c>
      <c r="V51" s="1" t="s">
        <v>1210</v>
      </c>
      <c r="W51" s="1" t="s">
        <v>1213</v>
      </c>
      <c r="X51" s="1" t="s">
        <v>1213</v>
      </c>
    </row>
    <row r="52" spans="1:24" ht="50.1" customHeight="1" x14ac:dyDescent="0.25">
      <c r="A52" s="1" t="s">
        <v>351</v>
      </c>
      <c r="B52" s="5" t="s">
        <v>1364</v>
      </c>
      <c r="C52" s="2" t="s">
        <v>353</v>
      </c>
      <c r="D52" s="2" t="s">
        <v>48</v>
      </c>
      <c r="E52" s="2" t="s">
        <v>48</v>
      </c>
      <c r="F52" s="3">
        <v>6029064142</v>
      </c>
      <c r="G52" s="4" t="s">
        <v>48</v>
      </c>
      <c r="H52" s="1" t="s">
        <v>34</v>
      </c>
      <c r="I52" s="1">
        <v>991066</v>
      </c>
      <c r="J52" s="1" t="s">
        <v>48</v>
      </c>
      <c r="Q52" s="1" t="s">
        <v>34</v>
      </c>
      <c r="R52" s="1" t="s">
        <v>34</v>
      </c>
      <c r="S52" s="1" t="s">
        <v>34</v>
      </c>
      <c r="T52" s="1" t="s">
        <v>36</v>
      </c>
      <c r="U52" s="1" t="s">
        <v>1213</v>
      </c>
      <c r="V52" s="1" t="s">
        <v>34</v>
      </c>
      <c r="W52" s="1" t="s">
        <v>1004</v>
      </c>
      <c r="X52" s="1" t="s">
        <v>1077</v>
      </c>
    </row>
    <row r="53" spans="1:24" ht="50.1" customHeight="1" x14ac:dyDescent="0.25">
      <c r="A53" s="1" t="s">
        <v>388</v>
      </c>
      <c r="B53" s="5" t="s">
        <v>389</v>
      </c>
      <c r="C53" s="2" t="s">
        <v>390</v>
      </c>
      <c r="D53" s="2" t="s">
        <v>48</v>
      </c>
      <c r="E53" s="2" t="s">
        <v>48</v>
      </c>
      <c r="F53" s="3">
        <v>6198434083</v>
      </c>
      <c r="G53" s="4" t="s">
        <v>48</v>
      </c>
      <c r="H53" s="1" t="s">
        <v>34</v>
      </c>
      <c r="I53" s="1">
        <v>984420</v>
      </c>
      <c r="J53" s="1" t="s">
        <v>48</v>
      </c>
      <c r="K53" s="1" t="s">
        <v>35</v>
      </c>
      <c r="M53" s="1" t="s">
        <v>2</v>
      </c>
      <c r="O53" s="1" t="s">
        <v>0</v>
      </c>
      <c r="Q53" s="1" t="s">
        <v>34</v>
      </c>
      <c r="R53" s="1" t="s">
        <v>34</v>
      </c>
      <c r="S53" s="1" t="s">
        <v>34</v>
      </c>
      <c r="T53" s="1" t="s">
        <v>34</v>
      </c>
      <c r="U53" s="1" t="s">
        <v>1133</v>
      </c>
      <c r="V53" s="1" t="s">
        <v>34</v>
      </c>
      <c r="W53" s="1" t="s">
        <v>1135</v>
      </c>
      <c r="X53" s="1" t="s">
        <v>1134</v>
      </c>
    </row>
    <row r="54" spans="1:24" ht="50.1" customHeight="1" x14ac:dyDescent="0.25">
      <c r="A54" s="1" t="s">
        <v>142</v>
      </c>
      <c r="B54" s="5" t="s">
        <v>143</v>
      </c>
      <c r="C54" s="2" t="s">
        <v>144</v>
      </c>
      <c r="D54" s="2" t="s">
        <v>48</v>
      </c>
      <c r="E54" s="2" t="s">
        <v>48</v>
      </c>
      <c r="F54" s="3">
        <v>9169195823</v>
      </c>
      <c r="G54" s="4" t="s">
        <v>48</v>
      </c>
      <c r="H54" s="1" t="s">
        <v>34</v>
      </c>
      <c r="I54" s="1">
        <v>775037</v>
      </c>
      <c r="J54" s="1" t="s">
        <v>48</v>
      </c>
      <c r="Q54" s="1" t="s">
        <v>34</v>
      </c>
      <c r="R54" s="1" t="s">
        <v>34</v>
      </c>
      <c r="S54" s="1" t="s">
        <v>34</v>
      </c>
      <c r="T54" s="1" t="s">
        <v>36</v>
      </c>
      <c r="U54" s="1" t="s">
        <v>1213</v>
      </c>
      <c r="V54" s="1" t="s">
        <v>1210</v>
      </c>
      <c r="W54" s="1" t="s">
        <v>1213</v>
      </c>
      <c r="X54" s="1" t="s">
        <v>1213</v>
      </c>
    </row>
    <row r="55" spans="1:24" ht="50.1" customHeight="1" x14ac:dyDescent="0.25">
      <c r="A55" s="1" t="s">
        <v>304</v>
      </c>
      <c r="B55" s="5" t="s">
        <v>1365</v>
      </c>
      <c r="C55" s="2" t="s">
        <v>306</v>
      </c>
      <c r="D55" s="2" t="s">
        <v>48</v>
      </c>
      <c r="E55" s="2" t="s">
        <v>48</v>
      </c>
      <c r="F55" s="3">
        <v>6509389574</v>
      </c>
      <c r="G55" s="4" t="s">
        <v>48</v>
      </c>
      <c r="H55" s="1" t="s">
        <v>34</v>
      </c>
      <c r="I55" s="1">
        <v>820697</v>
      </c>
      <c r="J55" s="1" t="s">
        <v>48</v>
      </c>
      <c r="K55" s="1" t="s">
        <v>35</v>
      </c>
      <c r="L55" s="1" t="s">
        <v>961</v>
      </c>
      <c r="M55" s="1" t="s">
        <v>2</v>
      </c>
      <c r="N55" s="1" t="s">
        <v>3</v>
      </c>
      <c r="O55" s="1" t="s">
        <v>0</v>
      </c>
      <c r="Q55" s="1" t="s">
        <v>34</v>
      </c>
      <c r="R55" s="1" t="s">
        <v>34</v>
      </c>
      <c r="S55" s="1" t="s">
        <v>36</v>
      </c>
      <c r="T55" s="1" t="s">
        <v>36</v>
      </c>
      <c r="U55" s="1" t="s">
        <v>1213</v>
      </c>
      <c r="V55" s="1" t="s">
        <v>1210</v>
      </c>
      <c r="W55" s="1" t="s">
        <v>1213</v>
      </c>
      <c r="X55" s="1" t="s">
        <v>1005</v>
      </c>
    </row>
    <row r="56" spans="1:24" ht="50.1" customHeight="1" x14ac:dyDescent="0.25">
      <c r="A56" s="1" t="s">
        <v>1215</v>
      </c>
      <c r="B56" s="5" t="s">
        <v>224</v>
      </c>
      <c r="C56" s="2" t="s">
        <v>225</v>
      </c>
      <c r="D56" s="2" t="s">
        <v>48</v>
      </c>
      <c r="E56" s="2" t="s">
        <v>48</v>
      </c>
      <c r="F56" s="3">
        <v>8057054446</v>
      </c>
      <c r="G56" s="4" t="s">
        <v>48</v>
      </c>
      <c r="H56" s="1" t="s">
        <v>34</v>
      </c>
      <c r="I56" s="1">
        <v>585437</v>
      </c>
      <c r="J56" s="1" t="s">
        <v>48</v>
      </c>
      <c r="K56" s="1" t="s">
        <v>35</v>
      </c>
      <c r="M56" s="1" t="s">
        <v>2</v>
      </c>
      <c r="O56" s="1" t="s">
        <v>0</v>
      </c>
      <c r="P56" s="1" t="s">
        <v>1</v>
      </c>
      <c r="Q56" s="1" t="s">
        <v>34</v>
      </c>
      <c r="R56" s="1" t="s">
        <v>34</v>
      </c>
      <c r="S56" s="1" t="s">
        <v>34</v>
      </c>
      <c r="T56" s="1" t="s">
        <v>36</v>
      </c>
      <c r="U56" s="1" t="s">
        <v>1213</v>
      </c>
      <c r="V56" s="1" t="s">
        <v>34</v>
      </c>
      <c r="W56" s="1" t="s">
        <v>1137</v>
      </c>
      <c r="X56" s="1" t="s">
        <v>1136</v>
      </c>
    </row>
    <row r="57" spans="1:24" ht="50.1" customHeight="1" x14ac:dyDescent="0.25">
      <c r="A57" s="1" t="s">
        <v>529</v>
      </c>
      <c r="B57" s="5" t="s">
        <v>1366</v>
      </c>
      <c r="C57" s="2" t="s">
        <v>531</v>
      </c>
      <c r="D57" s="2" t="s">
        <v>48</v>
      </c>
      <c r="E57" s="2" t="s">
        <v>48</v>
      </c>
      <c r="F57" s="3">
        <v>9252238547</v>
      </c>
      <c r="G57" s="4" t="s">
        <v>48</v>
      </c>
      <c r="H57" s="1" t="s">
        <v>34</v>
      </c>
      <c r="I57" s="1">
        <v>996520</v>
      </c>
      <c r="J57" s="1" t="s">
        <v>48</v>
      </c>
      <c r="K57" s="1" t="s">
        <v>35</v>
      </c>
      <c r="M57" s="1" t="s">
        <v>2</v>
      </c>
      <c r="O57" s="1" t="s">
        <v>0</v>
      </c>
      <c r="Q57" s="1" t="s">
        <v>34</v>
      </c>
      <c r="R57" s="1" t="s">
        <v>34</v>
      </c>
      <c r="S57" s="1" t="s">
        <v>34</v>
      </c>
      <c r="T57" s="1" t="s">
        <v>36</v>
      </c>
      <c r="U57" s="1" t="s">
        <v>1213</v>
      </c>
      <c r="V57" s="1" t="s">
        <v>1210</v>
      </c>
      <c r="W57" s="1" t="s">
        <v>1213</v>
      </c>
      <c r="X57" s="1" t="s">
        <v>1213</v>
      </c>
    </row>
    <row r="58" spans="1:24" ht="50.1" customHeight="1" x14ac:dyDescent="0.25">
      <c r="A58" s="1" t="s">
        <v>911</v>
      </c>
      <c r="B58" s="5" t="s">
        <v>748</v>
      </c>
      <c r="C58" s="2" t="s">
        <v>749</v>
      </c>
      <c r="D58" s="2" t="s">
        <v>48</v>
      </c>
      <c r="E58" s="2" t="s">
        <v>48</v>
      </c>
      <c r="F58" s="3">
        <v>7074818699</v>
      </c>
      <c r="G58" s="4" t="s">
        <v>48</v>
      </c>
      <c r="H58" s="1" t="s">
        <v>34</v>
      </c>
      <c r="I58" s="1">
        <v>873960</v>
      </c>
      <c r="J58" s="1" t="s">
        <v>48</v>
      </c>
      <c r="K58" s="1" t="s">
        <v>35</v>
      </c>
      <c r="M58" s="1" t="s">
        <v>2</v>
      </c>
      <c r="O58" s="1" t="s">
        <v>0</v>
      </c>
      <c r="Q58" s="1" t="s">
        <v>34</v>
      </c>
      <c r="R58" s="1" t="s">
        <v>36</v>
      </c>
      <c r="S58" s="1" t="s">
        <v>34</v>
      </c>
      <c r="T58" s="1" t="s">
        <v>36</v>
      </c>
      <c r="U58" s="1" t="s">
        <v>1213</v>
      </c>
      <c r="V58" s="1" t="s">
        <v>1210</v>
      </c>
      <c r="W58" s="1" t="s">
        <v>1213</v>
      </c>
      <c r="X58" s="1" t="s">
        <v>1213</v>
      </c>
    </row>
    <row r="59" spans="1:24" ht="50.1" customHeight="1" x14ac:dyDescent="0.25">
      <c r="A59" s="1" t="s">
        <v>850</v>
      </c>
      <c r="B59" s="5" t="s">
        <v>567</v>
      </c>
      <c r="C59" s="2" t="s">
        <v>568</v>
      </c>
      <c r="D59" s="2" t="s">
        <v>48</v>
      </c>
      <c r="E59" s="2" t="s">
        <v>48</v>
      </c>
      <c r="F59" s="3">
        <v>7607491111</v>
      </c>
      <c r="G59" s="4" t="s">
        <v>48</v>
      </c>
      <c r="H59" s="1" t="s">
        <v>34</v>
      </c>
      <c r="I59" s="1">
        <v>831831</v>
      </c>
      <c r="J59" s="1" t="s">
        <v>48</v>
      </c>
      <c r="K59" s="1" t="s">
        <v>35</v>
      </c>
      <c r="M59" s="1" t="s">
        <v>2</v>
      </c>
      <c r="O59" s="1" t="s">
        <v>0</v>
      </c>
      <c r="Q59" s="1" t="s">
        <v>36</v>
      </c>
      <c r="R59" s="1" t="s">
        <v>34</v>
      </c>
      <c r="S59" s="1" t="s">
        <v>34</v>
      </c>
      <c r="T59" s="1" t="s">
        <v>36</v>
      </c>
      <c r="U59" s="1" t="s">
        <v>1213</v>
      </c>
      <c r="V59" s="1" t="s">
        <v>1210</v>
      </c>
      <c r="W59" s="1" t="s">
        <v>1213</v>
      </c>
      <c r="X59" s="1" t="s">
        <v>569</v>
      </c>
    </row>
    <row r="60" spans="1:24" ht="50.1" customHeight="1" x14ac:dyDescent="0.25">
      <c r="A60" s="1" t="s">
        <v>938</v>
      </c>
      <c r="B60" s="5" t="s">
        <v>939</v>
      </c>
      <c r="C60" s="2" t="s">
        <v>805</v>
      </c>
      <c r="D60" s="2" t="s">
        <v>48</v>
      </c>
      <c r="E60" s="2" t="s">
        <v>48</v>
      </c>
      <c r="F60" s="3">
        <v>8316878097</v>
      </c>
      <c r="G60" s="4" t="s">
        <v>48</v>
      </c>
      <c r="H60" s="1" t="s">
        <v>34</v>
      </c>
      <c r="I60" s="1">
        <v>987896</v>
      </c>
      <c r="J60" s="1" t="s">
        <v>48</v>
      </c>
      <c r="K60" s="1" t="s">
        <v>35</v>
      </c>
      <c r="L60" s="1" t="s">
        <v>961</v>
      </c>
      <c r="M60" s="1" t="s">
        <v>2</v>
      </c>
      <c r="N60" s="1" t="s">
        <v>3</v>
      </c>
      <c r="O60" s="1" t="s">
        <v>0</v>
      </c>
      <c r="Q60" s="1" t="s">
        <v>34</v>
      </c>
      <c r="R60" s="1" t="s">
        <v>36</v>
      </c>
      <c r="S60" s="1" t="s">
        <v>34</v>
      </c>
      <c r="T60" s="1" t="s">
        <v>36</v>
      </c>
      <c r="U60" s="1" t="s">
        <v>1213</v>
      </c>
      <c r="V60" s="1" t="s">
        <v>34</v>
      </c>
      <c r="W60" s="1" t="s">
        <v>1006</v>
      </c>
      <c r="X60" s="1" t="s">
        <v>1213</v>
      </c>
    </row>
    <row r="61" spans="1:24" ht="50.1" customHeight="1" x14ac:dyDescent="0.25">
      <c r="A61" s="1" t="s">
        <v>321</v>
      </c>
      <c r="B61" s="2" t="s">
        <v>1367</v>
      </c>
      <c r="C61" s="2" t="s">
        <v>322</v>
      </c>
      <c r="D61" s="2" t="s">
        <v>48</v>
      </c>
      <c r="E61" s="2" t="s">
        <v>48</v>
      </c>
      <c r="F61" s="3">
        <v>5307867070</v>
      </c>
      <c r="G61" s="4" t="s">
        <v>48</v>
      </c>
      <c r="H61" s="1" t="s">
        <v>34</v>
      </c>
      <c r="I61" s="1">
        <v>953430</v>
      </c>
      <c r="J61" s="1" t="s">
        <v>48</v>
      </c>
      <c r="K61" s="1" t="s">
        <v>35</v>
      </c>
      <c r="M61" s="1" t="s">
        <v>2</v>
      </c>
      <c r="N61" s="1" t="s">
        <v>3</v>
      </c>
      <c r="O61" s="1" t="s">
        <v>0</v>
      </c>
      <c r="P61" s="1" t="s">
        <v>1</v>
      </c>
      <c r="Q61" s="1" t="s">
        <v>34</v>
      </c>
      <c r="R61" s="1" t="s">
        <v>34</v>
      </c>
      <c r="S61" s="1" t="s">
        <v>34</v>
      </c>
      <c r="T61" s="1" t="s">
        <v>36</v>
      </c>
      <c r="U61" s="1" t="s">
        <v>1213</v>
      </c>
      <c r="V61" s="1" t="s">
        <v>1210</v>
      </c>
      <c r="W61" s="1" t="s">
        <v>1213</v>
      </c>
      <c r="X61" s="1" t="s">
        <v>1213</v>
      </c>
    </row>
    <row r="62" spans="1:24" ht="50.1" customHeight="1" x14ac:dyDescent="0.25">
      <c r="A62" s="1" t="s">
        <v>148</v>
      </c>
      <c r="B62" s="5" t="s">
        <v>149</v>
      </c>
      <c r="C62" s="2" t="s">
        <v>150</v>
      </c>
      <c r="D62" s="2" t="s">
        <v>48</v>
      </c>
      <c r="E62" s="2" t="s">
        <v>48</v>
      </c>
      <c r="F62" s="3">
        <v>9253504121</v>
      </c>
      <c r="G62" s="4" t="s">
        <v>48</v>
      </c>
      <c r="H62" s="1" t="s">
        <v>34</v>
      </c>
      <c r="I62" s="1">
        <v>1008525</v>
      </c>
      <c r="J62" s="1" t="s">
        <v>48</v>
      </c>
      <c r="K62" s="1" t="s">
        <v>35</v>
      </c>
      <c r="L62" s="1" t="s">
        <v>961</v>
      </c>
      <c r="M62" s="1" t="s">
        <v>2</v>
      </c>
      <c r="N62" s="1" t="s">
        <v>3</v>
      </c>
      <c r="O62" s="1" t="s">
        <v>0</v>
      </c>
      <c r="P62" s="1" t="s">
        <v>1</v>
      </c>
      <c r="Q62" s="1" t="s">
        <v>34</v>
      </c>
      <c r="R62" s="1" t="s">
        <v>34</v>
      </c>
      <c r="S62" s="1" t="s">
        <v>34</v>
      </c>
      <c r="T62" s="1" t="s">
        <v>36</v>
      </c>
      <c r="U62" s="1" t="s">
        <v>1213</v>
      </c>
      <c r="V62" s="1" t="s">
        <v>34</v>
      </c>
      <c r="W62" s="1" t="s">
        <v>152</v>
      </c>
      <c r="X62" s="1" t="s">
        <v>151</v>
      </c>
    </row>
    <row r="63" spans="1:24" ht="50.1" customHeight="1" x14ac:dyDescent="0.25">
      <c r="A63" s="1" t="s">
        <v>888</v>
      </c>
      <c r="B63" s="5" t="s">
        <v>683</v>
      </c>
      <c r="C63" s="2" t="s">
        <v>684</v>
      </c>
      <c r="D63" s="2" t="s">
        <v>48</v>
      </c>
      <c r="E63" s="2" t="s">
        <v>48</v>
      </c>
      <c r="F63" s="3">
        <v>5592551644</v>
      </c>
      <c r="G63" s="4" t="s">
        <v>48</v>
      </c>
      <c r="H63" s="1" t="s">
        <v>34</v>
      </c>
      <c r="I63" s="1">
        <v>271615</v>
      </c>
      <c r="J63" s="1" t="s">
        <v>48</v>
      </c>
      <c r="K63" s="1" t="s">
        <v>35</v>
      </c>
      <c r="L63" s="1" t="s">
        <v>961</v>
      </c>
      <c r="M63" s="1" t="s">
        <v>2</v>
      </c>
      <c r="N63" s="1" t="s">
        <v>3</v>
      </c>
      <c r="O63" s="1" t="s">
        <v>0</v>
      </c>
      <c r="Q63" s="1" t="s">
        <v>34</v>
      </c>
      <c r="R63" s="1" t="s">
        <v>34</v>
      </c>
      <c r="S63" s="1" t="s">
        <v>34</v>
      </c>
      <c r="T63" s="1" t="s">
        <v>34</v>
      </c>
      <c r="U63" s="1" t="s">
        <v>685</v>
      </c>
      <c r="V63" s="1" t="s">
        <v>1210</v>
      </c>
      <c r="W63" s="1" t="s">
        <v>1213</v>
      </c>
      <c r="X63" s="1" t="s">
        <v>686</v>
      </c>
    </row>
    <row r="64" spans="1:24" ht="50.1" customHeight="1" x14ac:dyDescent="0.25">
      <c r="A64" s="1" t="s">
        <v>67</v>
      </c>
      <c r="B64" s="5" t="s">
        <v>68</v>
      </c>
      <c r="C64" s="2" t="s">
        <v>69</v>
      </c>
      <c r="D64" s="2" t="s">
        <v>48</v>
      </c>
      <c r="E64" s="2" t="s">
        <v>48</v>
      </c>
      <c r="F64" s="3">
        <v>4086090888</v>
      </c>
      <c r="G64" s="4" t="s">
        <v>48</v>
      </c>
      <c r="H64" s="1" t="s">
        <v>34</v>
      </c>
      <c r="I64" s="1">
        <v>1003783</v>
      </c>
      <c r="J64" s="1" t="s">
        <v>48</v>
      </c>
      <c r="K64" s="1" t="s">
        <v>35</v>
      </c>
      <c r="L64" s="1" t="s">
        <v>961</v>
      </c>
      <c r="O64" s="1" t="s">
        <v>0</v>
      </c>
      <c r="Q64" s="1" t="s">
        <v>34</v>
      </c>
      <c r="R64" s="1" t="s">
        <v>36</v>
      </c>
      <c r="S64" s="1" t="s">
        <v>34</v>
      </c>
      <c r="T64" s="1" t="s">
        <v>36</v>
      </c>
      <c r="U64" s="1" t="s">
        <v>1213</v>
      </c>
      <c r="V64" s="1" t="s">
        <v>34</v>
      </c>
      <c r="W64" s="1" t="s">
        <v>1007</v>
      </c>
      <c r="X64" s="1" t="s">
        <v>1213</v>
      </c>
    </row>
    <row r="65" spans="1:24" ht="50.1" customHeight="1" x14ac:dyDescent="0.25">
      <c r="A65" s="1" t="s">
        <v>258</v>
      </c>
      <c r="B65" s="5" t="s">
        <v>259</v>
      </c>
      <c r="C65" s="2" t="s">
        <v>260</v>
      </c>
      <c r="D65" s="2" t="s">
        <v>48</v>
      </c>
      <c r="E65" s="2" t="s">
        <v>48</v>
      </c>
      <c r="F65" s="3">
        <v>8003966949</v>
      </c>
      <c r="G65" s="4" t="s">
        <v>48</v>
      </c>
      <c r="H65" s="1" t="s">
        <v>34</v>
      </c>
      <c r="I65" s="1">
        <v>1028255</v>
      </c>
      <c r="J65" s="1" t="s">
        <v>48</v>
      </c>
      <c r="K65" s="1" t="s">
        <v>35</v>
      </c>
      <c r="L65" s="1" t="s">
        <v>961</v>
      </c>
      <c r="M65" s="1" t="s">
        <v>2</v>
      </c>
      <c r="N65" s="1" t="s">
        <v>3</v>
      </c>
      <c r="O65" s="1" t="s">
        <v>0</v>
      </c>
      <c r="P65" s="1" t="s">
        <v>1</v>
      </c>
      <c r="Q65" s="1" t="s">
        <v>34</v>
      </c>
      <c r="R65" s="1" t="s">
        <v>36</v>
      </c>
      <c r="S65" s="1" t="s">
        <v>34</v>
      </c>
      <c r="T65" s="1" t="s">
        <v>36</v>
      </c>
      <c r="U65" s="1" t="s">
        <v>1213</v>
      </c>
      <c r="V65" s="1" t="s">
        <v>1210</v>
      </c>
      <c r="W65" s="1" t="s">
        <v>1213</v>
      </c>
      <c r="X65" s="1" t="s">
        <v>1213</v>
      </c>
    </row>
    <row r="66" spans="1:24" ht="50.1" customHeight="1" x14ac:dyDescent="0.25">
      <c r="A66" s="1" t="s">
        <v>914</v>
      </c>
      <c r="B66" s="5" t="s">
        <v>751</v>
      </c>
      <c r="C66" s="2" t="s">
        <v>752</v>
      </c>
      <c r="D66" s="2" t="s">
        <v>48</v>
      </c>
      <c r="E66" s="2" t="s">
        <v>48</v>
      </c>
      <c r="F66" s="3">
        <v>5308788558</v>
      </c>
      <c r="G66" s="4" t="s">
        <v>48</v>
      </c>
      <c r="H66" s="1" t="s">
        <v>34</v>
      </c>
      <c r="I66" s="1">
        <v>774452</v>
      </c>
      <c r="J66" s="1" t="s">
        <v>48</v>
      </c>
      <c r="K66" s="1" t="s">
        <v>35</v>
      </c>
      <c r="L66" s="1" t="s">
        <v>35</v>
      </c>
      <c r="M66" s="1" t="s">
        <v>2</v>
      </c>
      <c r="O66" s="1" t="s">
        <v>0</v>
      </c>
      <c r="Q66" s="1" t="s">
        <v>34</v>
      </c>
      <c r="R66" s="1" t="s">
        <v>34</v>
      </c>
      <c r="S66" s="1" t="s">
        <v>34</v>
      </c>
      <c r="T66" s="1" t="s">
        <v>34</v>
      </c>
      <c r="U66" s="1" t="s">
        <v>972</v>
      </c>
      <c r="V66" s="1" t="s">
        <v>34</v>
      </c>
      <c r="W66" s="1" t="s">
        <v>1008</v>
      </c>
      <c r="X66" s="1" t="s">
        <v>1078</v>
      </c>
    </row>
    <row r="67" spans="1:24" ht="50.1" customHeight="1" x14ac:dyDescent="0.25">
      <c r="A67" s="1" t="s">
        <v>917</v>
      </c>
      <c r="B67" s="5" t="s">
        <v>918</v>
      </c>
      <c r="C67" s="2" t="s">
        <v>757</v>
      </c>
      <c r="D67" s="2" t="s">
        <v>48</v>
      </c>
      <c r="E67" s="2" t="s">
        <v>48</v>
      </c>
      <c r="F67" s="3">
        <v>7142659077</v>
      </c>
      <c r="G67" s="4" t="s">
        <v>48</v>
      </c>
      <c r="H67" s="1" t="s">
        <v>34</v>
      </c>
      <c r="I67" s="1">
        <v>1045300</v>
      </c>
      <c r="J67" s="1" t="s">
        <v>48</v>
      </c>
      <c r="K67" s="1" t="s">
        <v>35</v>
      </c>
      <c r="L67" s="1" t="s">
        <v>961</v>
      </c>
      <c r="M67" s="1" t="s">
        <v>2</v>
      </c>
      <c r="N67" s="1" t="s">
        <v>3</v>
      </c>
      <c r="O67" s="1" t="s">
        <v>0</v>
      </c>
      <c r="P67" s="1" t="s">
        <v>1</v>
      </c>
      <c r="Q67" s="1" t="s">
        <v>34</v>
      </c>
      <c r="R67" s="1" t="s">
        <v>36</v>
      </c>
      <c r="S67" s="1" t="s">
        <v>34</v>
      </c>
      <c r="T67" s="1" t="s">
        <v>34</v>
      </c>
      <c r="U67" s="1" t="s">
        <v>973</v>
      </c>
      <c r="V67" s="1" t="s">
        <v>1210</v>
      </c>
      <c r="W67" s="1" t="s">
        <v>1213</v>
      </c>
      <c r="X67" s="1" t="s">
        <v>758</v>
      </c>
    </row>
    <row r="68" spans="1:24" ht="50.1" customHeight="1" x14ac:dyDescent="0.25">
      <c r="A68" s="1" t="s">
        <v>391</v>
      </c>
      <c r="B68" s="5" t="s">
        <v>392</v>
      </c>
      <c r="C68" s="2" t="s">
        <v>393</v>
      </c>
      <c r="D68" s="2" t="s">
        <v>48</v>
      </c>
      <c r="E68" s="2" t="s">
        <v>48</v>
      </c>
      <c r="F68" s="3">
        <v>8585213415</v>
      </c>
      <c r="G68" s="4" t="s">
        <v>48</v>
      </c>
      <c r="H68" s="1" t="s">
        <v>34</v>
      </c>
      <c r="I68" s="1">
        <v>1050533</v>
      </c>
      <c r="J68" s="1" t="s">
        <v>48</v>
      </c>
      <c r="L68" s="1" t="s">
        <v>44</v>
      </c>
      <c r="N68" s="1" t="s">
        <v>3</v>
      </c>
      <c r="Q68" s="1" t="s">
        <v>34</v>
      </c>
      <c r="R68" s="1" t="s">
        <v>34</v>
      </c>
      <c r="S68" s="1" t="s">
        <v>34</v>
      </c>
      <c r="T68" s="1" t="s">
        <v>34</v>
      </c>
      <c r="U68" s="1" t="s">
        <v>974</v>
      </c>
      <c r="V68" s="1" t="s">
        <v>1210</v>
      </c>
      <c r="W68" s="1" t="s">
        <v>1213</v>
      </c>
      <c r="X68" s="1" t="s">
        <v>1213</v>
      </c>
    </row>
    <row r="69" spans="1:24" ht="50.1" customHeight="1" x14ac:dyDescent="0.25">
      <c r="A69" s="1" t="s">
        <v>190</v>
      </c>
      <c r="B69" s="5" t="s">
        <v>191</v>
      </c>
      <c r="C69" s="2" t="s">
        <v>192</v>
      </c>
      <c r="D69" s="2" t="s">
        <v>48</v>
      </c>
      <c r="E69" s="2" t="s">
        <v>48</v>
      </c>
      <c r="F69" s="3">
        <v>7142025422</v>
      </c>
      <c r="G69" s="4" t="s">
        <v>48</v>
      </c>
      <c r="H69" s="1" t="s">
        <v>34</v>
      </c>
      <c r="I69" s="1">
        <v>1014270</v>
      </c>
      <c r="J69" s="1" t="s">
        <v>48</v>
      </c>
      <c r="K69" s="1" t="s">
        <v>35</v>
      </c>
      <c r="L69" s="1" t="s">
        <v>961</v>
      </c>
      <c r="M69" s="1" t="s">
        <v>2</v>
      </c>
      <c r="O69" s="1" t="s">
        <v>0</v>
      </c>
      <c r="Q69" s="1" t="s">
        <v>34</v>
      </c>
      <c r="R69" s="1" t="s">
        <v>34</v>
      </c>
      <c r="S69" s="1" t="s">
        <v>34</v>
      </c>
      <c r="T69" s="1" t="s">
        <v>34</v>
      </c>
      <c r="U69" s="1" t="s">
        <v>193</v>
      </c>
      <c r="V69" s="1" t="s">
        <v>1210</v>
      </c>
      <c r="W69" s="1" t="s">
        <v>1213</v>
      </c>
      <c r="X69" s="1" t="s">
        <v>194</v>
      </c>
    </row>
    <row r="70" spans="1:24" ht="50.1" customHeight="1" x14ac:dyDescent="0.25">
      <c r="A70" s="1" t="s">
        <v>872</v>
      </c>
      <c r="B70" s="5" t="s">
        <v>637</v>
      </c>
      <c r="C70" s="2" t="s">
        <v>638</v>
      </c>
      <c r="D70" s="2" t="s">
        <v>48</v>
      </c>
      <c r="E70" s="2" t="s">
        <v>48</v>
      </c>
      <c r="F70" s="3">
        <v>3108260090</v>
      </c>
      <c r="G70" s="4" t="s">
        <v>48</v>
      </c>
      <c r="H70" s="1" t="s">
        <v>34</v>
      </c>
      <c r="I70" s="1">
        <v>603892</v>
      </c>
      <c r="J70" s="1" t="s">
        <v>48</v>
      </c>
      <c r="K70" s="1" t="s">
        <v>35</v>
      </c>
      <c r="L70" s="1" t="s">
        <v>961</v>
      </c>
      <c r="M70" s="1" t="s">
        <v>2</v>
      </c>
      <c r="N70" s="1" t="s">
        <v>3</v>
      </c>
      <c r="O70" s="1" t="s">
        <v>0</v>
      </c>
      <c r="Q70" s="1" t="s">
        <v>34</v>
      </c>
      <c r="R70" s="1" t="s">
        <v>34</v>
      </c>
      <c r="S70" s="1" t="s">
        <v>34</v>
      </c>
      <c r="T70" s="1" t="s">
        <v>34</v>
      </c>
      <c r="U70" s="1" t="s">
        <v>1138</v>
      </c>
      <c r="V70" s="1" t="s">
        <v>1210</v>
      </c>
      <c r="W70" s="1" t="s">
        <v>1213</v>
      </c>
      <c r="X70" s="1" t="s">
        <v>1079</v>
      </c>
    </row>
    <row r="71" spans="1:24" ht="50.1" customHeight="1" x14ac:dyDescent="0.25">
      <c r="A71" s="1" t="s">
        <v>878</v>
      </c>
      <c r="B71" s="5" t="s">
        <v>652</v>
      </c>
      <c r="C71" s="2" t="s">
        <v>653</v>
      </c>
      <c r="D71" s="2" t="s">
        <v>48</v>
      </c>
      <c r="E71" s="2" t="s">
        <v>48</v>
      </c>
      <c r="F71" s="3">
        <v>8052310822</v>
      </c>
      <c r="G71" s="4" t="s">
        <v>48</v>
      </c>
      <c r="H71" s="1" t="s">
        <v>34</v>
      </c>
      <c r="I71" s="1">
        <v>969938</v>
      </c>
      <c r="J71" s="1" t="s">
        <v>48</v>
      </c>
      <c r="K71" s="1" t="s">
        <v>35</v>
      </c>
      <c r="M71" s="1" t="s">
        <v>2</v>
      </c>
      <c r="O71" s="1" t="s">
        <v>0</v>
      </c>
      <c r="Q71" s="1" t="s">
        <v>34</v>
      </c>
      <c r="R71" s="1" t="s">
        <v>34</v>
      </c>
      <c r="S71" s="1" t="s">
        <v>34</v>
      </c>
      <c r="T71" s="1" t="s">
        <v>36</v>
      </c>
      <c r="U71" s="1" t="s">
        <v>1213</v>
      </c>
      <c r="V71" s="1" t="s">
        <v>34</v>
      </c>
      <c r="W71" s="1" t="s">
        <v>654</v>
      </c>
      <c r="X71" s="1" t="s">
        <v>1139</v>
      </c>
    </row>
    <row r="72" spans="1:24" ht="50.1" customHeight="1" x14ac:dyDescent="0.25">
      <c r="A72" s="1" t="s">
        <v>153</v>
      </c>
      <c r="B72" s="5" t="s">
        <v>154</v>
      </c>
      <c r="C72" s="2" t="s">
        <v>155</v>
      </c>
      <c r="D72" s="2" t="s">
        <v>48</v>
      </c>
      <c r="E72" s="2" t="s">
        <v>48</v>
      </c>
      <c r="F72" s="3">
        <v>9258031601</v>
      </c>
      <c r="G72" s="4" t="s">
        <v>48</v>
      </c>
      <c r="H72" s="1" t="s">
        <v>34</v>
      </c>
      <c r="I72" s="1">
        <v>835854</v>
      </c>
      <c r="J72" s="1" t="s">
        <v>48</v>
      </c>
      <c r="K72" s="1" t="s">
        <v>35</v>
      </c>
      <c r="L72" s="1" t="s">
        <v>961</v>
      </c>
      <c r="M72" s="1" t="s">
        <v>2</v>
      </c>
      <c r="N72" s="1" t="s">
        <v>3</v>
      </c>
      <c r="O72" s="1" t="s">
        <v>0</v>
      </c>
      <c r="Q72" s="1" t="s">
        <v>36</v>
      </c>
      <c r="R72" s="1" t="s">
        <v>36</v>
      </c>
      <c r="S72" s="1" t="s">
        <v>34</v>
      </c>
      <c r="T72" s="1" t="s">
        <v>36</v>
      </c>
      <c r="U72" s="1" t="s">
        <v>1213</v>
      </c>
      <c r="V72" s="1" t="s">
        <v>1210</v>
      </c>
      <c r="W72" s="1" t="s">
        <v>1213</v>
      </c>
      <c r="X72" s="1" t="s">
        <v>1213</v>
      </c>
    </row>
    <row r="73" spans="1:24" ht="50.1" customHeight="1" x14ac:dyDescent="0.25">
      <c r="A73" s="1" t="s">
        <v>330</v>
      </c>
      <c r="B73" s="5" t="s">
        <v>1368</v>
      </c>
      <c r="C73" s="2" t="s">
        <v>332</v>
      </c>
      <c r="D73" s="2" t="s">
        <v>48</v>
      </c>
      <c r="E73" s="2" t="s">
        <v>48</v>
      </c>
      <c r="F73" s="3">
        <v>9168243080</v>
      </c>
      <c r="G73" s="4" t="s">
        <v>48</v>
      </c>
      <c r="H73" s="1" t="s">
        <v>34</v>
      </c>
      <c r="I73" s="1">
        <v>990593</v>
      </c>
      <c r="J73" s="1" t="s">
        <v>48</v>
      </c>
      <c r="Q73" s="1" t="s">
        <v>34</v>
      </c>
      <c r="R73" s="1" t="s">
        <v>34</v>
      </c>
      <c r="S73" s="1" t="s">
        <v>34</v>
      </c>
      <c r="T73" s="1" t="s">
        <v>36</v>
      </c>
      <c r="U73" s="1" t="s">
        <v>1213</v>
      </c>
      <c r="V73" s="1" t="s">
        <v>1210</v>
      </c>
      <c r="W73" s="1" t="s">
        <v>1213</v>
      </c>
      <c r="X73" s="1" t="s">
        <v>1080</v>
      </c>
    </row>
    <row r="74" spans="1:24" ht="50.1" customHeight="1" x14ac:dyDescent="0.25">
      <c r="A74" s="1" t="s">
        <v>532</v>
      </c>
      <c r="B74" s="5" t="s">
        <v>1009</v>
      </c>
      <c r="C74" s="2" t="s">
        <v>533</v>
      </c>
      <c r="D74" s="2" t="s">
        <v>48</v>
      </c>
      <c r="E74" s="2" t="s">
        <v>48</v>
      </c>
      <c r="F74" s="3">
        <v>4125126859</v>
      </c>
      <c r="G74" s="3">
        <v>6172249900</v>
      </c>
      <c r="H74" s="1" t="s">
        <v>34</v>
      </c>
      <c r="I74" s="1">
        <v>1063379</v>
      </c>
      <c r="J74" s="1" t="s">
        <v>48</v>
      </c>
      <c r="L74" s="1" t="s">
        <v>44</v>
      </c>
      <c r="N74" s="1" t="s">
        <v>3</v>
      </c>
      <c r="Q74" s="1" t="s">
        <v>34</v>
      </c>
      <c r="R74" s="1" t="s">
        <v>36</v>
      </c>
      <c r="S74" s="1" t="s">
        <v>34</v>
      </c>
      <c r="T74" s="1" t="s">
        <v>34</v>
      </c>
      <c r="U74" s="1" t="s">
        <v>534</v>
      </c>
      <c r="V74" s="1" t="s">
        <v>34</v>
      </c>
      <c r="W74" s="1" t="s">
        <v>1010</v>
      </c>
      <c r="X74" s="1" t="s">
        <v>1140</v>
      </c>
    </row>
    <row r="75" spans="1:24" ht="50.1" customHeight="1" x14ac:dyDescent="0.25">
      <c r="A75" s="1" t="s">
        <v>280</v>
      </c>
      <c r="B75" s="5" t="s">
        <v>281</v>
      </c>
      <c r="C75" s="2" t="s">
        <v>282</v>
      </c>
      <c r="D75" s="2" t="s">
        <v>48</v>
      </c>
      <c r="E75" s="2" t="s">
        <v>48</v>
      </c>
      <c r="F75" s="3">
        <v>6618689000</v>
      </c>
      <c r="G75" s="4" t="s">
        <v>48</v>
      </c>
      <c r="H75" s="1" t="s">
        <v>34</v>
      </c>
      <c r="I75" s="1">
        <v>1024270</v>
      </c>
      <c r="J75" s="1" t="s">
        <v>48</v>
      </c>
      <c r="K75" s="1" t="s">
        <v>35</v>
      </c>
      <c r="O75" s="1" t="s">
        <v>0</v>
      </c>
      <c r="Q75" s="1" t="s">
        <v>34</v>
      </c>
      <c r="R75" s="1" t="s">
        <v>34</v>
      </c>
      <c r="S75" s="1" t="s">
        <v>34</v>
      </c>
      <c r="T75" s="1" t="s">
        <v>34</v>
      </c>
      <c r="U75" s="1" t="s">
        <v>283</v>
      </c>
      <c r="V75" s="1" t="s">
        <v>34</v>
      </c>
      <c r="W75" s="1" t="s">
        <v>285</v>
      </c>
      <c r="X75" s="1" t="s">
        <v>284</v>
      </c>
    </row>
    <row r="76" spans="1:24" ht="50.1" customHeight="1" x14ac:dyDescent="0.25">
      <c r="A76" s="1" t="s">
        <v>211</v>
      </c>
      <c r="B76" s="5" t="s">
        <v>1369</v>
      </c>
      <c r="C76" s="2" t="s">
        <v>213</v>
      </c>
      <c r="D76" s="2" t="s">
        <v>48</v>
      </c>
      <c r="E76" s="2" t="s">
        <v>48</v>
      </c>
      <c r="F76" s="3">
        <v>9494203737</v>
      </c>
      <c r="G76" s="4" t="s">
        <v>48</v>
      </c>
      <c r="H76" s="1" t="s">
        <v>34</v>
      </c>
      <c r="I76" s="1">
        <v>996029</v>
      </c>
      <c r="J76" s="1" t="s">
        <v>48</v>
      </c>
      <c r="K76" s="1" t="s">
        <v>35</v>
      </c>
      <c r="L76" s="1" t="s">
        <v>961</v>
      </c>
      <c r="M76" s="1" t="s">
        <v>2</v>
      </c>
      <c r="N76" s="1" t="s">
        <v>3</v>
      </c>
      <c r="O76" s="1" t="s">
        <v>0</v>
      </c>
      <c r="P76" s="1" t="s">
        <v>1</v>
      </c>
      <c r="Q76" s="1" t="s">
        <v>36</v>
      </c>
      <c r="R76" s="1" t="s">
        <v>36</v>
      </c>
      <c r="S76" s="1" t="s">
        <v>34</v>
      </c>
      <c r="T76" s="1" t="s">
        <v>34</v>
      </c>
      <c r="U76" s="1" t="s">
        <v>1213</v>
      </c>
      <c r="V76" s="1" t="s">
        <v>1210</v>
      </c>
      <c r="W76" s="1" t="s">
        <v>1213</v>
      </c>
      <c r="X76" s="1" t="s">
        <v>1213</v>
      </c>
    </row>
    <row r="77" spans="1:24" ht="50.1" customHeight="1" x14ac:dyDescent="0.25">
      <c r="A77" s="1" t="s">
        <v>896</v>
      </c>
      <c r="B77" s="5" t="s">
        <v>712</v>
      </c>
      <c r="C77" s="2" t="s">
        <v>713</v>
      </c>
      <c r="D77" s="2" t="s">
        <v>48</v>
      </c>
      <c r="E77" s="2" t="s">
        <v>48</v>
      </c>
      <c r="F77" s="3">
        <v>6612097987</v>
      </c>
      <c r="G77" s="4" t="s">
        <v>48</v>
      </c>
      <c r="H77" s="1" t="s">
        <v>34</v>
      </c>
      <c r="I77" s="1">
        <v>992209</v>
      </c>
      <c r="J77" s="1" t="s">
        <v>48</v>
      </c>
      <c r="K77" s="1" t="s">
        <v>35</v>
      </c>
      <c r="L77" s="1" t="s">
        <v>961</v>
      </c>
      <c r="M77" s="1" t="s">
        <v>2</v>
      </c>
      <c r="O77" s="1" t="s">
        <v>0</v>
      </c>
      <c r="Q77" s="1" t="s">
        <v>34</v>
      </c>
      <c r="R77" s="1" t="s">
        <v>34</v>
      </c>
      <c r="S77" s="1" t="s">
        <v>34</v>
      </c>
      <c r="T77" s="1" t="s">
        <v>36</v>
      </c>
      <c r="U77" s="1" t="s">
        <v>1213</v>
      </c>
      <c r="V77" s="1" t="s">
        <v>34</v>
      </c>
      <c r="W77" s="1" t="s">
        <v>714</v>
      </c>
      <c r="X77" s="1" t="s">
        <v>1081</v>
      </c>
    </row>
    <row r="78" spans="1:24" ht="50.1" customHeight="1" x14ac:dyDescent="0.25">
      <c r="A78" s="1" t="s">
        <v>853</v>
      </c>
      <c r="B78" s="5" t="s">
        <v>585</v>
      </c>
      <c r="C78" s="2" t="s">
        <v>586</v>
      </c>
      <c r="D78" s="2" t="s">
        <v>48</v>
      </c>
      <c r="E78" s="2" t="s">
        <v>48</v>
      </c>
      <c r="F78" s="3">
        <v>8446783772</v>
      </c>
      <c r="G78" s="4" t="s">
        <v>48</v>
      </c>
      <c r="H78" s="1" t="s">
        <v>34</v>
      </c>
      <c r="I78" s="1">
        <v>995037</v>
      </c>
      <c r="J78" s="1" t="s">
        <v>48</v>
      </c>
      <c r="K78" s="1" t="s">
        <v>35</v>
      </c>
      <c r="M78" s="1" t="s">
        <v>2</v>
      </c>
      <c r="N78" s="1" t="s">
        <v>3</v>
      </c>
      <c r="O78" s="1" t="s">
        <v>0</v>
      </c>
      <c r="Q78" s="1" t="s">
        <v>34</v>
      </c>
      <c r="R78" s="1" t="s">
        <v>36</v>
      </c>
      <c r="S78" s="1" t="s">
        <v>34</v>
      </c>
      <c r="T78" s="1" t="s">
        <v>36</v>
      </c>
      <c r="U78" s="1" t="s">
        <v>1213</v>
      </c>
      <c r="V78" s="1" t="s">
        <v>34</v>
      </c>
      <c r="W78" s="1" t="s">
        <v>1011</v>
      </c>
      <c r="X78" s="1" t="s">
        <v>587</v>
      </c>
    </row>
    <row r="79" spans="1:24" ht="50.1" customHeight="1" x14ac:dyDescent="0.25">
      <c r="A79" s="1" t="s">
        <v>1216</v>
      </c>
      <c r="B79" s="2" t="s">
        <v>384</v>
      </c>
      <c r="C79" s="2" t="s">
        <v>435</v>
      </c>
      <c r="D79" s="2" t="s">
        <v>48</v>
      </c>
      <c r="E79" s="2" t="s">
        <v>48</v>
      </c>
      <c r="F79" s="3">
        <v>4154542874</v>
      </c>
      <c r="G79" s="4" t="s">
        <v>48</v>
      </c>
      <c r="H79" s="1" t="s">
        <v>34</v>
      </c>
      <c r="I79" s="1">
        <v>815558</v>
      </c>
      <c r="J79" s="1" t="s">
        <v>48</v>
      </c>
      <c r="K79" s="1" t="s">
        <v>35</v>
      </c>
      <c r="O79" s="1" t="s">
        <v>0</v>
      </c>
      <c r="Q79" s="1" t="s">
        <v>36</v>
      </c>
      <c r="R79" s="1" t="s">
        <v>36</v>
      </c>
      <c r="S79" s="1" t="s">
        <v>36</v>
      </c>
      <c r="T79" s="1" t="s">
        <v>36</v>
      </c>
      <c r="U79" s="1" t="s">
        <v>1213</v>
      </c>
      <c r="V79" s="1" t="s">
        <v>1210</v>
      </c>
      <c r="W79" s="1" t="s">
        <v>1213</v>
      </c>
      <c r="X79" s="1" t="s">
        <v>1213</v>
      </c>
    </row>
    <row r="80" spans="1:24" ht="50.1" customHeight="1" x14ac:dyDescent="0.25">
      <c r="A80" s="1" t="s">
        <v>537</v>
      </c>
      <c r="B80" s="5" t="s">
        <v>538</v>
      </c>
      <c r="C80" s="2" t="s">
        <v>539</v>
      </c>
      <c r="D80" s="2" t="s">
        <v>48</v>
      </c>
      <c r="E80" s="2" t="s">
        <v>48</v>
      </c>
      <c r="F80" s="3">
        <v>8775359992</v>
      </c>
      <c r="G80" s="4" t="s">
        <v>48</v>
      </c>
      <c r="H80" s="1" t="s">
        <v>34</v>
      </c>
      <c r="I80" s="1">
        <v>1009839</v>
      </c>
      <c r="J80" s="1" t="s">
        <v>48</v>
      </c>
      <c r="K80" s="1" t="s">
        <v>35</v>
      </c>
      <c r="O80" s="1" t="s">
        <v>0</v>
      </c>
      <c r="Q80" s="1" t="s">
        <v>34</v>
      </c>
      <c r="R80" s="1" t="s">
        <v>34</v>
      </c>
      <c r="S80" s="1" t="s">
        <v>34</v>
      </c>
      <c r="T80" s="1" t="s">
        <v>34</v>
      </c>
      <c r="U80" s="1" t="s">
        <v>540</v>
      </c>
      <c r="V80" s="1" t="s">
        <v>34</v>
      </c>
      <c r="W80" s="1" t="s">
        <v>1013</v>
      </c>
      <c r="X80" s="1" t="s">
        <v>1012</v>
      </c>
    </row>
    <row r="81" spans="1:24" ht="50.1" customHeight="1" x14ac:dyDescent="0.25">
      <c r="A81" s="1" t="s">
        <v>526</v>
      </c>
      <c r="B81" s="5" t="s">
        <v>527</v>
      </c>
      <c r="C81" s="2" t="s">
        <v>528</v>
      </c>
      <c r="D81" s="2" t="s">
        <v>48</v>
      </c>
      <c r="E81" s="2" t="s">
        <v>48</v>
      </c>
      <c r="F81" s="3">
        <v>7074800213</v>
      </c>
      <c r="G81" s="4" t="s">
        <v>48</v>
      </c>
      <c r="H81" s="1" t="s">
        <v>34</v>
      </c>
      <c r="I81" s="1">
        <v>1039876</v>
      </c>
      <c r="J81" s="1" t="s">
        <v>48</v>
      </c>
      <c r="K81" s="1" t="s">
        <v>35</v>
      </c>
      <c r="L81" s="1" t="s">
        <v>961</v>
      </c>
      <c r="M81" s="1" t="s">
        <v>2</v>
      </c>
      <c r="O81" s="1" t="s">
        <v>0</v>
      </c>
      <c r="Q81" s="1" t="s">
        <v>1210</v>
      </c>
      <c r="R81" s="1" t="s">
        <v>1210</v>
      </c>
      <c r="S81" s="1" t="s">
        <v>1210</v>
      </c>
      <c r="T81" s="1" t="s">
        <v>36</v>
      </c>
      <c r="U81" s="1" t="s">
        <v>1213</v>
      </c>
      <c r="V81" s="1" t="s">
        <v>1210</v>
      </c>
      <c r="W81" s="1" t="s">
        <v>1213</v>
      </c>
      <c r="X81" s="1" t="s">
        <v>1213</v>
      </c>
    </row>
    <row r="82" spans="1:24" s="10" customFormat="1" ht="50.1" customHeight="1" x14ac:dyDescent="0.25">
      <c r="A82" s="1" t="s">
        <v>275</v>
      </c>
      <c r="B82" s="5" t="s">
        <v>276</v>
      </c>
      <c r="C82" s="2" t="s">
        <v>277</v>
      </c>
      <c r="D82" s="2" t="s">
        <v>48</v>
      </c>
      <c r="E82" s="2" t="s">
        <v>48</v>
      </c>
      <c r="F82" s="3">
        <v>8552045083</v>
      </c>
      <c r="G82" s="4" t="s">
        <v>48</v>
      </c>
      <c r="H82" s="1" t="s">
        <v>34</v>
      </c>
      <c r="I82" s="1">
        <v>1029402</v>
      </c>
      <c r="J82" s="1" t="s">
        <v>48</v>
      </c>
      <c r="K82" s="1" t="s">
        <v>35</v>
      </c>
      <c r="L82" s="1" t="s">
        <v>961</v>
      </c>
      <c r="M82" s="1" t="s">
        <v>2</v>
      </c>
      <c r="N82" s="1" t="s">
        <v>3</v>
      </c>
      <c r="O82" s="1" t="s">
        <v>0</v>
      </c>
      <c r="P82" s="1" t="s">
        <v>1</v>
      </c>
      <c r="Q82" s="1" t="s">
        <v>34</v>
      </c>
      <c r="R82" s="1" t="s">
        <v>36</v>
      </c>
      <c r="S82" s="1" t="s">
        <v>34</v>
      </c>
      <c r="T82" s="1" t="s">
        <v>34</v>
      </c>
      <c r="U82" s="1" t="s">
        <v>975</v>
      </c>
      <c r="V82" s="1" t="s">
        <v>34</v>
      </c>
      <c r="W82" s="1" t="s">
        <v>1014</v>
      </c>
      <c r="X82" s="1" t="s">
        <v>1110</v>
      </c>
    </row>
    <row r="83" spans="1:24" ht="50.1" customHeight="1" x14ac:dyDescent="0.25">
      <c r="A83" s="9" t="s">
        <v>253</v>
      </c>
      <c r="B83" s="5" t="s">
        <v>328</v>
      </c>
      <c r="C83" s="10" t="s">
        <v>255</v>
      </c>
      <c r="D83" s="10" t="s">
        <v>48</v>
      </c>
      <c r="E83" s="10" t="s">
        <v>48</v>
      </c>
      <c r="F83" s="11">
        <v>9092357760</v>
      </c>
      <c r="G83" s="12" t="s">
        <v>48</v>
      </c>
      <c r="H83" s="9" t="s">
        <v>34</v>
      </c>
      <c r="I83" s="9">
        <v>1029455</v>
      </c>
      <c r="J83" s="9" t="s">
        <v>48</v>
      </c>
      <c r="K83" s="9" t="s">
        <v>35</v>
      </c>
      <c r="L83" s="9"/>
      <c r="M83" s="9"/>
      <c r="N83" s="9"/>
      <c r="O83" s="9" t="s">
        <v>0</v>
      </c>
      <c r="P83" s="9"/>
      <c r="Q83" s="9" t="s">
        <v>34</v>
      </c>
      <c r="R83" s="9" t="s">
        <v>34</v>
      </c>
      <c r="S83" s="9" t="s">
        <v>34</v>
      </c>
      <c r="T83" s="9" t="s">
        <v>34</v>
      </c>
      <c r="U83" s="9" t="s">
        <v>256</v>
      </c>
      <c r="V83" s="9" t="s">
        <v>34</v>
      </c>
      <c r="W83" s="9" t="s">
        <v>257</v>
      </c>
      <c r="X83" s="9" t="s">
        <v>1082</v>
      </c>
    </row>
    <row r="84" spans="1:24" ht="50.1" customHeight="1" x14ac:dyDescent="0.25">
      <c r="A84" s="1" t="s">
        <v>327</v>
      </c>
      <c r="B84" s="5" t="s">
        <v>328</v>
      </c>
      <c r="C84" s="2" t="s">
        <v>329</v>
      </c>
      <c r="D84" s="2" t="s">
        <v>48</v>
      </c>
      <c r="E84" s="2" t="s">
        <v>48</v>
      </c>
      <c r="F84" s="3">
        <v>7605343966</v>
      </c>
      <c r="G84" s="4" t="s">
        <v>48</v>
      </c>
      <c r="H84" s="1" t="s">
        <v>34</v>
      </c>
      <c r="I84" s="1">
        <v>1029455</v>
      </c>
      <c r="J84" s="1" t="s">
        <v>48</v>
      </c>
      <c r="Q84" s="1" t="s">
        <v>34</v>
      </c>
      <c r="R84" s="1" t="s">
        <v>34</v>
      </c>
      <c r="S84" s="1" t="s">
        <v>34</v>
      </c>
      <c r="T84" s="1" t="s">
        <v>36</v>
      </c>
      <c r="U84" s="1" t="s">
        <v>1213</v>
      </c>
      <c r="V84" s="1" t="s">
        <v>34</v>
      </c>
      <c r="W84" s="1" t="s">
        <v>1015</v>
      </c>
      <c r="X84" s="1" t="s">
        <v>1213</v>
      </c>
    </row>
    <row r="85" spans="1:24" ht="50.1" customHeight="1" x14ac:dyDescent="0.25">
      <c r="A85" s="1" t="s">
        <v>929</v>
      </c>
      <c r="B85" s="5" t="s">
        <v>780</v>
      </c>
      <c r="C85" s="2" t="s">
        <v>781</v>
      </c>
      <c r="D85" s="2" t="s">
        <v>48</v>
      </c>
      <c r="E85" s="2" t="s">
        <v>48</v>
      </c>
      <c r="F85" s="3">
        <v>4084971579</v>
      </c>
      <c r="G85" s="4" t="s">
        <v>48</v>
      </c>
      <c r="H85" s="1" t="s">
        <v>34</v>
      </c>
      <c r="I85" s="1">
        <v>901992</v>
      </c>
      <c r="J85" s="1" t="s">
        <v>48</v>
      </c>
      <c r="L85" s="1" t="s">
        <v>44</v>
      </c>
      <c r="N85" s="1" t="s">
        <v>3</v>
      </c>
      <c r="Q85" s="1" t="s">
        <v>36</v>
      </c>
      <c r="R85" s="1" t="s">
        <v>36</v>
      </c>
      <c r="S85" s="1" t="s">
        <v>34</v>
      </c>
      <c r="T85" s="1" t="s">
        <v>36</v>
      </c>
      <c r="U85" s="1" t="s">
        <v>1213</v>
      </c>
      <c r="V85" s="1" t="s">
        <v>34</v>
      </c>
      <c r="W85" s="1" t="s">
        <v>1141</v>
      </c>
      <c r="X85" s="1" t="s">
        <v>782</v>
      </c>
    </row>
    <row r="86" spans="1:24" ht="50.1" customHeight="1" x14ac:dyDescent="0.25">
      <c r="A86" s="1" t="s">
        <v>876</v>
      </c>
      <c r="B86" s="5" t="s">
        <v>645</v>
      </c>
      <c r="C86" s="2" t="s">
        <v>646</v>
      </c>
      <c r="D86" s="2" t="s">
        <v>48</v>
      </c>
      <c r="E86" s="2" t="s">
        <v>48</v>
      </c>
      <c r="F86" s="3">
        <v>8005053157</v>
      </c>
      <c r="G86" s="4" t="s">
        <v>48</v>
      </c>
      <c r="H86" s="1" t="s">
        <v>34</v>
      </c>
      <c r="I86" s="1">
        <v>967433</v>
      </c>
      <c r="J86" s="1" t="s">
        <v>48</v>
      </c>
      <c r="K86" s="1" t="s">
        <v>35</v>
      </c>
      <c r="L86" s="1" t="s">
        <v>961</v>
      </c>
      <c r="M86" s="1" t="s">
        <v>2</v>
      </c>
      <c r="N86" s="1" t="s">
        <v>3</v>
      </c>
      <c r="O86" s="1" t="s">
        <v>0</v>
      </c>
      <c r="Q86" s="1" t="s">
        <v>34</v>
      </c>
      <c r="R86" s="1" t="s">
        <v>36</v>
      </c>
      <c r="S86" s="1" t="s">
        <v>34</v>
      </c>
      <c r="T86" s="1" t="s">
        <v>36</v>
      </c>
      <c r="U86" s="1" t="s">
        <v>1213</v>
      </c>
      <c r="V86" s="1" t="s">
        <v>34</v>
      </c>
      <c r="W86" s="1" t="s">
        <v>647</v>
      </c>
      <c r="X86" s="1" t="s">
        <v>1213</v>
      </c>
    </row>
    <row r="87" spans="1:24" ht="50.1" customHeight="1" x14ac:dyDescent="0.25">
      <c r="A87" s="1" t="s">
        <v>323</v>
      </c>
      <c r="B87" s="5" t="s">
        <v>324</v>
      </c>
      <c r="C87" s="2" t="s">
        <v>325</v>
      </c>
      <c r="D87" s="2" t="s">
        <v>48</v>
      </c>
      <c r="E87" s="2" t="s">
        <v>48</v>
      </c>
      <c r="F87" s="3">
        <v>8009850733</v>
      </c>
      <c r="G87" s="4" t="s">
        <v>48</v>
      </c>
      <c r="H87" s="1" t="s">
        <v>34</v>
      </c>
      <c r="I87" s="1">
        <v>463720</v>
      </c>
      <c r="J87" s="1" t="s">
        <v>48</v>
      </c>
      <c r="K87" s="1" t="s">
        <v>35</v>
      </c>
      <c r="L87" s="1" t="s">
        <v>961</v>
      </c>
      <c r="M87" s="1" t="s">
        <v>2</v>
      </c>
      <c r="N87" s="1" t="s">
        <v>3</v>
      </c>
      <c r="O87" s="1" t="s">
        <v>0</v>
      </c>
      <c r="Q87" s="1" t="s">
        <v>34</v>
      </c>
      <c r="R87" s="1" t="s">
        <v>36</v>
      </c>
      <c r="S87" s="1" t="s">
        <v>36</v>
      </c>
      <c r="T87" s="1" t="s">
        <v>34</v>
      </c>
      <c r="U87" s="1" t="s">
        <v>326</v>
      </c>
      <c r="V87" s="1" t="s">
        <v>1210</v>
      </c>
      <c r="W87" s="1" t="s">
        <v>1213</v>
      </c>
      <c r="X87" s="1" t="s">
        <v>1213</v>
      </c>
    </row>
    <row r="88" spans="1:24" ht="50.1" customHeight="1" x14ac:dyDescent="0.25">
      <c r="A88" s="1" t="s">
        <v>930</v>
      </c>
      <c r="B88" s="5" t="s">
        <v>931</v>
      </c>
      <c r="C88" s="2" t="s">
        <v>783</v>
      </c>
      <c r="D88" s="2" t="s">
        <v>48</v>
      </c>
      <c r="E88" s="2" t="s">
        <v>48</v>
      </c>
      <c r="F88" s="3">
        <v>8589993929</v>
      </c>
      <c r="G88" s="4" t="s">
        <v>48</v>
      </c>
      <c r="H88" s="1" t="s">
        <v>34</v>
      </c>
      <c r="I88" s="1">
        <v>995108</v>
      </c>
      <c r="J88" s="1" t="s">
        <v>48</v>
      </c>
      <c r="K88" s="1" t="s">
        <v>35</v>
      </c>
      <c r="M88" s="1" t="s">
        <v>2</v>
      </c>
      <c r="N88" s="1" t="s">
        <v>3</v>
      </c>
      <c r="O88" s="1" t="s">
        <v>0</v>
      </c>
      <c r="Q88" s="1" t="s">
        <v>34</v>
      </c>
      <c r="R88" s="1" t="s">
        <v>34</v>
      </c>
      <c r="S88" s="1" t="s">
        <v>34</v>
      </c>
      <c r="T88" s="1" t="s">
        <v>36</v>
      </c>
      <c r="U88" s="1" t="s">
        <v>1213</v>
      </c>
      <c r="V88" s="1" t="s">
        <v>34</v>
      </c>
      <c r="W88" s="1" t="s">
        <v>784</v>
      </c>
      <c r="X88" s="1" t="s">
        <v>1142</v>
      </c>
    </row>
    <row r="89" spans="1:24" ht="50.1" customHeight="1" x14ac:dyDescent="0.25">
      <c r="A89" s="1" t="s">
        <v>417</v>
      </c>
      <c r="B89" s="5" t="s">
        <v>1370</v>
      </c>
      <c r="C89" s="2" t="s">
        <v>419</v>
      </c>
      <c r="D89" s="2" t="s">
        <v>48</v>
      </c>
      <c r="E89" s="2" t="s">
        <v>48</v>
      </c>
      <c r="F89" s="3">
        <v>8053200350</v>
      </c>
      <c r="G89" s="4" t="s">
        <v>48</v>
      </c>
      <c r="H89" s="1" t="s">
        <v>34</v>
      </c>
      <c r="I89" s="1">
        <v>972791</v>
      </c>
      <c r="J89" s="1" t="s">
        <v>48</v>
      </c>
      <c r="L89" s="1" t="s">
        <v>44</v>
      </c>
      <c r="O89" s="1" t="s">
        <v>0</v>
      </c>
      <c r="Q89" s="1" t="s">
        <v>1210</v>
      </c>
      <c r="R89" s="1" t="s">
        <v>1210</v>
      </c>
      <c r="S89" s="1" t="s">
        <v>1210</v>
      </c>
      <c r="T89" s="1" t="s">
        <v>34</v>
      </c>
      <c r="U89" s="1" t="s">
        <v>1213</v>
      </c>
      <c r="V89" s="1" t="s">
        <v>1210</v>
      </c>
      <c r="W89" s="1" t="s">
        <v>1213</v>
      </c>
      <c r="X89" s="1" t="s">
        <v>1213</v>
      </c>
    </row>
    <row r="90" spans="1:24" ht="50.1" customHeight="1" x14ac:dyDescent="0.25">
      <c r="A90" s="1" t="s">
        <v>519</v>
      </c>
      <c r="B90" s="5" t="s">
        <v>1371</v>
      </c>
      <c r="C90" s="2" t="s">
        <v>521</v>
      </c>
      <c r="D90" s="2" t="s">
        <v>48</v>
      </c>
      <c r="E90" s="2" t="s">
        <v>48</v>
      </c>
      <c r="F90" s="3">
        <v>5102928721</v>
      </c>
      <c r="G90" s="4" t="s">
        <v>48</v>
      </c>
      <c r="H90" s="1" t="s">
        <v>34</v>
      </c>
      <c r="I90" s="1">
        <v>1047853</v>
      </c>
      <c r="J90" s="1" t="s">
        <v>48</v>
      </c>
      <c r="K90" s="1" t="s">
        <v>35</v>
      </c>
      <c r="L90" s="1" t="s">
        <v>961</v>
      </c>
      <c r="M90" s="1" t="s">
        <v>2</v>
      </c>
      <c r="N90" s="1" t="s">
        <v>3</v>
      </c>
      <c r="O90" s="1" t="s">
        <v>0</v>
      </c>
      <c r="Q90" s="1" t="s">
        <v>34</v>
      </c>
      <c r="R90" s="1" t="s">
        <v>34</v>
      </c>
      <c r="S90" s="1" t="s">
        <v>34</v>
      </c>
      <c r="T90" s="1" t="s">
        <v>34</v>
      </c>
      <c r="U90" s="1" t="s">
        <v>1143</v>
      </c>
      <c r="V90" s="1" t="s">
        <v>34</v>
      </c>
      <c r="W90" s="1" t="s">
        <v>522</v>
      </c>
      <c r="X90" s="1" t="s">
        <v>1083</v>
      </c>
    </row>
    <row r="91" spans="1:24" ht="50.1" customHeight="1" x14ac:dyDescent="0.25">
      <c r="A91" s="1" t="s">
        <v>487</v>
      </c>
      <c r="B91" s="5" t="s">
        <v>1372</v>
      </c>
      <c r="C91" s="2" t="s">
        <v>489</v>
      </c>
      <c r="D91" s="2" t="s">
        <v>48</v>
      </c>
      <c r="E91" s="2" t="s">
        <v>48</v>
      </c>
      <c r="F91" s="3">
        <v>8665576937</v>
      </c>
      <c r="G91" s="4" t="s">
        <v>48</v>
      </c>
      <c r="H91" s="1" t="s">
        <v>34</v>
      </c>
      <c r="I91" s="1">
        <v>1014971</v>
      </c>
      <c r="J91" s="1" t="s">
        <v>48</v>
      </c>
      <c r="K91" s="1" t="s">
        <v>35</v>
      </c>
      <c r="L91" s="1" t="s">
        <v>961</v>
      </c>
      <c r="M91" s="1" t="s">
        <v>2</v>
      </c>
      <c r="N91" s="1" t="s">
        <v>3</v>
      </c>
      <c r="O91" s="1" t="s">
        <v>0</v>
      </c>
      <c r="Q91" s="1" t="s">
        <v>34</v>
      </c>
      <c r="R91" s="1" t="s">
        <v>34</v>
      </c>
      <c r="S91" s="1" t="s">
        <v>34</v>
      </c>
      <c r="T91" s="1" t="s">
        <v>36</v>
      </c>
      <c r="U91" s="1" t="s">
        <v>1213</v>
      </c>
      <c r="V91" s="1" t="s">
        <v>34</v>
      </c>
      <c r="W91" s="1" t="s">
        <v>490</v>
      </c>
      <c r="X91" s="1" t="s">
        <v>1144</v>
      </c>
    </row>
    <row r="92" spans="1:24" ht="50.1" customHeight="1" x14ac:dyDescent="0.25">
      <c r="A92" s="1" t="s">
        <v>307</v>
      </c>
      <c r="B92" s="5" t="s">
        <v>308</v>
      </c>
      <c r="C92" s="2" t="s">
        <v>309</v>
      </c>
      <c r="D92" s="2" t="s">
        <v>48</v>
      </c>
      <c r="E92" s="2" t="s">
        <v>48</v>
      </c>
      <c r="F92" s="3">
        <v>8334276527</v>
      </c>
      <c r="G92" s="4" t="s">
        <v>48</v>
      </c>
      <c r="H92" s="1" t="s">
        <v>34</v>
      </c>
      <c r="I92" s="1">
        <v>940091</v>
      </c>
      <c r="J92" s="1" t="s">
        <v>48</v>
      </c>
      <c r="K92" s="1" t="s">
        <v>35</v>
      </c>
      <c r="M92" s="1" t="s">
        <v>2</v>
      </c>
      <c r="O92" s="1" t="s">
        <v>0</v>
      </c>
      <c r="Q92" s="1" t="s">
        <v>34</v>
      </c>
      <c r="R92" s="1" t="s">
        <v>36</v>
      </c>
      <c r="S92" s="1" t="s">
        <v>34</v>
      </c>
      <c r="T92" s="1" t="s">
        <v>36</v>
      </c>
      <c r="U92" s="1" t="s">
        <v>1213</v>
      </c>
      <c r="V92" s="1" t="s">
        <v>34</v>
      </c>
      <c r="W92" s="1" t="s">
        <v>311</v>
      </c>
      <c r="X92" s="1" t="s">
        <v>310</v>
      </c>
    </row>
    <row r="93" spans="1:24" ht="50.1" customHeight="1" x14ac:dyDescent="0.25">
      <c r="A93" s="1" t="s">
        <v>296</v>
      </c>
      <c r="B93" s="5" t="s">
        <v>1373</v>
      </c>
      <c r="C93" s="2" t="s">
        <v>788</v>
      </c>
      <c r="D93" s="2" t="s">
        <v>775</v>
      </c>
      <c r="E93" s="2" t="s">
        <v>48</v>
      </c>
      <c r="F93" s="3">
        <v>6613304325</v>
      </c>
      <c r="G93" s="3">
        <v>6615888000</v>
      </c>
      <c r="H93" s="1" t="s">
        <v>34</v>
      </c>
      <c r="I93" s="1">
        <v>825017</v>
      </c>
      <c r="J93" s="1">
        <v>1030700</v>
      </c>
      <c r="K93" s="1" t="s">
        <v>35</v>
      </c>
      <c r="L93" s="1" t="s">
        <v>961</v>
      </c>
      <c r="M93" s="1" t="s">
        <v>2</v>
      </c>
      <c r="N93" s="1" t="s">
        <v>3</v>
      </c>
      <c r="O93" s="1" t="s">
        <v>0</v>
      </c>
      <c r="P93" s="1" t="s">
        <v>1</v>
      </c>
      <c r="Q93" s="1" t="s">
        <v>34</v>
      </c>
      <c r="R93" s="1" t="s">
        <v>34</v>
      </c>
      <c r="S93" s="1" t="s">
        <v>34</v>
      </c>
      <c r="T93" s="1" t="s">
        <v>34</v>
      </c>
      <c r="U93" s="1" t="s">
        <v>1199</v>
      </c>
      <c r="V93" s="1" t="s">
        <v>34</v>
      </c>
      <c r="W93" s="1" t="s">
        <v>1146</v>
      </c>
      <c r="X93" s="1" t="s">
        <v>1145</v>
      </c>
    </row>
    <row r="94" spans="1:24" ht="50.1" customHeight="1" x14ac:dyDescent="0.25">
      <c r="A94" s="1" t="s">
        <v>945</v>
      </c>
      <c r="B94" s="5" t="s">
        <v>1374</v>
      </c>
      <c r="C94" s="2" t="s">
        <v>826</v>
      </c>
      <c r="D94" s="2" t="s">
        <v>48</v>
      </c>
      <c r="E94" s="2" t="s">
        <v>48</v>
      </c>
      <c r="F94" s="3">
        <v>4083550842</v>
      </c>
      <c r="G94" s="4" t="s">
        <v>48</v>
      </c>
      <c r="H94" s="1" t="s">
        <v>34</v>
      </c>
      <c r="I94" s="1">
        <v>946942</v>
      </c>
      <c r="J94" s="1" t="s">
        <v>48</v>
      </c>
      <c r="K94" s="1" t="s">
        <v>35</v>
      </c>
      <c r="M94" s="1" t="s">
        <v>2</v>
      </c>
      <c r="N94" s="1" t="s">
        <v>3</v>
      </c>
      <c r="O94" s="1" t="s">
        <v>0</v>
      </c>
      <c r="Q94" s="1" t="s">
        <v>34</v>
      </c>
      <c r="R94" s="1" t="s">
        <v>34</v>
      </c>
      <c r="S94" s="1" t="s">
        <v>34</v>
      </c>
      <c r="T94" s="1" t="s">
        <v>36</v>
      </c>
      <c r="U94" s="1" t="s">
        <v>1213</v>
      </c>
      <c r="V94" s="1" t="s">
        <v>34</v>
      </c>
      <c r="W94" s="1" t="s">
        <v>1016</v>
      </c>
      <c r="X94" s="1" t="s">
        <v>827</v>
      </c>
    </row>
    <row r="95" spans="1:24" ht="50.1" customHeight="1" x14ac:dyDescent="0.25">
      <c r="A95" s="1" t="s">
        <v>261</v>
      </c>
      <c r="B95" s="5" t="s">
        <v>262</v>
      </c>
      <c r="C95" s="2" t="s">
        <v>263</v>
      </c>
      <c r="D95" s="2" t="s">
        <v>48</v>
      </c>
      <c r="E95" s="2" t="s">
        <v>48</v>
      </c>
      <c r="F95" s="3">
        <v>9254210411</v>
      </c>
      <c r="G95" s="4" t="s">
        <v>48</v>
      </c>
      <c r="H95" s="1" t="s">
        <v>34</v>
      </c>
      <c r="I95" s="1">
        <v>985920</v>
      </c>
      <c r="J95" s="1" t="s">
        <v>48</v>
      </c>
      <c r="K95" s="1" t="s">
        <v>35</v>
      </c>
      <c r="L95" s="1" t="s">
        <v>961</v>
      </c>
      <c r="M95" s="1" t="s">
        <v>2</v>
      </c>
      <c r="N95" s="1" t="s">
        <v>3</v>
      </c>
      <c r="O95" s="1" t="s">
        <v>0</v>
      </c>
      <c r="Q95" s="1" t="s">
        <v>36</v>
      </c>
      <c r="R95" s="1" t="s">
        <v>34</v>
      </c>
      <c r="S95" s="1" t="s">
        <v>34</v>
      </c>
      <c r="T95" s="1" t="s">
        <v>34</v>
      </c>
      <c r="U95" s="1" t="s">
        <v>976</v>
      </c>
      <c r="V95" s="1" t="s">
        <v>1210</v>
      </c>
      <c r="W95" s="1" t="s">
        <v>1213</v>
      </c>
      <c r="X95" s="1" t="s">
        <v>1147</v>
      </c>
    </row>
    <row r="96" spans="1:24" ht="50.1" customHeight="1" x14ac:dyDescent="0.25">
      <c r="A96" s="1" t="s">
        <v>892</v>
      </c>
      <c r="B96" s="5" t="s">
        <v>1017</v>
      </c>
      <c r="C96" s="2" t="s">
        <v>1018</v>
      </c>
      <c r="D96" s="2" t="s">
        <v>48</v>
      </c>
      <c r="E96" s="2" t="s">
        <v>48</v>
      </c>
      <c r="F96" s="3">
        <v>3474155903</v>
      </c>
      <c r="G96" s="4" t="s">
        <v>48</v>
      </c>
      <c r="H96" s="1" t="s">
        <v>34</v>
      </c>
      <c r="I96" s="1">
        <v>927030</v>
      </c>
      <c r="J96" s="1" t="s">
        <v>48</v>
      </c>
      <c r="L96" s="1" t="s">
        <v>44</v>
      </c>
      <c r="N96" s="1" t="s">
        <v>3</v>
      </c>
      <c r="Q96" s="1" t="s">
        <v>34</v>
      </c>
      <c r="R96" s="1" t="s">
        <v>34</v>
      </c>
      <c r="S96" s="1" t="s">
        <v>34</v>
      </c>
      <c r="T96" s="1" t="s">
        <v>34</v>
      </c>
      <c r="U96" s="1" t="s">
        <v>696</v>
      </c>
      <c r="V96" s="1" t="s">
        <v>34</v>
      </c>
      <c r="W96" s="1" t="s">
        <v>698</v>
      </c>
      <c r="X96" s="1" t="s">
        <v>697</v>
      </c>
    </row>
    <row r="97" spans="1:24" ht="50.1" customHeight="1" x14ac:dyDescent="0.25">
      <c r="A97" s="1" t="s">
        <v>494</v>
      </c>
      <c r="B97" s="5" t="s">
        <v>495</v>
      </c>
      <c r="C97" s="2" t="s">
        <v>496</v>
      </c>
      <c r="D97" s="2" t="s">
        <v>48</v>
      </c>
      <c r="E97" s="2" t="s">
        <v>48</v>
      </c>
      <c r="F97" s="3">
        <v>5104275406</v>
      </c>
      <c r="G97" s="4" t="s">
        <v>48</v>
      </c>
      <c r="H97" s="1" t="s">
        <v>34</v>
      </c>
      <c r="I97" s="1">
        <v>998581</v>
      </c>
      <c r="J97" s="1" t="s">
        <v>48</v>
      </c>
      <c r="K97" s="1" t="s">
        <v>35</v>
      </c>
      <c r="L97" s="1" t="s">
        <v>961</v>
      </c>
      <c r="M97" s="1" t="s">
        <v>2</v>
      </c>
      <c r="N97" s="1" t="s">
        <v>3</v>
      </c>
      <c r="O97" s="1" t="s">
        <v>0</v>
      </c>
      <c r="Q97" s="1" t="s">
        <v>34</v>
      </c>
      <c r="R97" s="1" t="s">
        <v>36</v>
      </c>
      <c r="S97" s="1" t="s">
        <v>34</v>
      </c>
      <c r="T97" s="1" t="s">
        <v>36</v>
      </c>
      <c r="U97" s="1" t="s">
        <v>1213</v>
      </c>
      <c r="V97" s="1" t="s">
        <v>34</v>
      </c>
      <c r="W97" s="1" t="s">
        <v>1020</v>
      </c>
      <c r="X97" s="1" t="s">
        <v>1019</v>
      </c>
    </row>
    <row r="98" spans="1:24" ht="50.1" customHeight="1" x14ac:dyDescent="0.25">
      <c r="A98" s="1" t="s">
        <v>99</v>
      </c>
      <c r="B98" s="5" t="s">
        <v>100</v>
      </c>
      <c r="C98" s="2" t="s">
        <v>101</v>
      </c>
      <c r="D98" s="2" t="s">
        <v>48</v>
      </c>
      <c r="E98" s="2" t="s">
        <v>48</v>
      </c>
      <c r="F98" s="3">
        <v>5107311310</v>
      </c>
      <c r="G98" s="4" t="s">
        <v>48</v>
      </c>
      <c r="H98" s="1" t="s">
        <v>34</v>
      </c>
      <c r="I98" s="1">
        <v>867533</v>
      </c>
      <c r="J98" s="1" t="s">
        <v>48</v>
      </c>
      <c r="K98" s="1" t="s">
        <v>35</v>
      </c>
      <c r="L98" s="1" t="s">
        <v>961</v>
      </c>
      <c r="M98" s="1" t="s">
        <v>2</v>
      </c>
      <c r="N98" s="1" t="s">
        <v>3</v>
      </c>
      <c r="O98" s="1" t="s">
        <v>0</v>
      </c>
      <c r="P98" s="1" t="s">
        <v>1</v>
      </c>
      <c r="Q98" s="1" t="s">
        <v>34</v>
      </c>
      <c r="R98" s="1" t="s">
        <v>34</v>
      </c>
      <c r="S98" s="1" t="s">
        <v>34</v>
      </c>
      <c r="T98" s="1" t="s">
        <v>34</v>
      </c>
      <c r="U98" s="1" t="s">
        <v>1200</v>
      </c>
      <c r="V98" s="1" t="s">
        <v>34</v>
      </c>
      <c r="W98" s="1" t="s">
        <v>1148</v>
      </c>
      <c r="X98" s="1" t="s">
        <v>1111</v>
      </c>
    </row>
    <row r="99" spans="1:24" ht="50.1" customHeight="1" x14ac:dyDescent="0.25">
      <c r="A99" s="1" t="s">
        <v>852</v>
      </c>
      <c r="B99" s="5" t="s">
        <v>579</v>
      </c>
      <c r="C99" s="2" t="s">
        <v>580</v>
      </c>
      <c r="D99" s="2" t="s">
        <v>48</v>
      </c>
      <c r="E99" s="2" t="s">
        <v>48</v>
      </c>
      <c r="F99" s="3">
        <v>4243940043</v>
      </c>
      <c r="G99" s="4" t="s">
        <v>48</v>
      </c>
      <c r="H99" s="1" t="s">
        <v>34</v>
      </c>
      <c r="I99" s="1">
        <v>1054222</v>
      </c>
      <c r="J99" s="1" t="s">
        <v>48</v>
      </c>
      <c r="L99" s="1" t="s">
        <v>44</v>
      </c>
      <c r="N99" s="1" t="s">
        <v>3</v>
      </c>
      <c r="Q99" s="1" t="s">
        <v>34</v>
      </c>
      <c r="R99" s="1" t="s">
        <v>34</v>
      </c>
      <c r="S99" s="1" t="s">
        <v>34</v>
      </c>
      <c r="T99" s="1" t="s">
        <v>34</v>
      </c>
      <c r="U99" s="1" t="s">
        <v>977</v>
      </c>
      <c r="V99" s="1" t="s">
        <v>34</v>
      </c>
      <c r="W99" s="1" t="s">
        <v>581</v>
      </c>
      <c r="X99" s="1" t="s">
        <v>1084</v>
      </c>
    </row>
    <row r="100" spans="1:24" ht="50.1" customHeight="1" x14ac:dyDescent="0.25">
      <c r="A100" s="1" t="s">
        <v>167</v>
      </c>
      <c r="B100" s="5" t="s">
        <v>168</v>
      </c>
      <c r="C100" s="2" t="s">
        <v>169</v>
      </c>
      <c r="D100" s="2" t="s">
        <v>226</v>
      </c>
      <c r="E100" s="2" t="s">
        <v>48</v>
      </c>
      <c r="F100" s="3">
        <v>5302275268</v>
      </c>
      <c r="G100" s="4" t="s">
        <v>48</v>
      </c>
      <c r="H100" s="1" t="s">
        <v>34</v>
      </c>
      <c r="I100" s="1">
        <v>1004696</v>
      </c>
      <c r="J100" s="1" t="s">
        <v>48</v>
      </c>
      <c r="K100" s="1" t="s">
        <v>35</v>
      </c>
      <c r="L100" s="1" t="s">
        <v>44</v>
      </c>
      <c r="M100" s="1" t="s">
        <v>2</v>
      </c>
      <c r="N100" s="1" t="s">
        <v>3</v>
      </c>
      <c r="O100" s="1" t="s">
        <v>0</v>
      </c>
      <c r="Q100" s="1" t="s">
        <v>34</v>
      </c>
      <c r="R100" s="1" t="s">
        <v>34</v>
      </c>
      <c r="S100" s="1" t="s">
        <v>34</v>
      </c>
      <c r="T100" s="1" t="s">
        <v>36</v>
      </c>
      <c r="U100" s="1" t="s">
        <v>1213</v>
      </c>
      <c r="V100" s="1" t="s">
        <v>34</v>
      </c>
      <c r="W100" s="1" t="s">
        <v>170</v>
      </c>
      <c r="X100" s="1" t="s">
        <v>1022</v>
      </c>
    </row>
    <row r="101" spans="1:24" ht="50.1" customHeight="1" x14ac:dyDescent="0.25">
      <c r="A101" s="1" t="s">
        <v>859</v>
      </c>
      <c r="B101" s="5" t="s">
        <v>1375</v>
      </c>
      <c r="C101" s="2" t="s">
        <v>601</v>
      </c>
      <c r="D101" s="2" t="s">
        <v>48</v>
      </c>
      <c r="E101" s="2" t="s">
        <v>48</v>
      </c>
      <c r="F101" s="3">
        <v>7609490480</v>
      </c>
      <c r="G101" s="4" t="s">
        <v>48</v>
      </c>
      <c r="H101" s="1" t="s">
        <v>34</v>
      </c>
      <c r="I101" s="1">
        <v>534390</v>
      </c>
      <c r="J101" s="1" t="s">
        <v>48</v>
      </c>
      <c r="K101" s="1" t="s">
        <v>35</v>
      </c>
      <c r="L101" s="1" t="s">
        <v>961</v>
      </c>
      <c r="M101" s="1" t="s">
        <v>2</v>
      </c>
      <c r="N101" s="1" t="s">
        <v>3</v>
      </c>
      <c r="O101" s="1" t="s">
        <v>0</v>
      </c>
      <c r="P101" s="1" t="s">
        <v>1</v>
      </c>
      <c r="Q101" s="1" t="s">
        <v>34</v>
      </c>
      <c r="R101" s="1" t="s">
        <v>34</v>
      </c>
      <c r="S101" s="1" t="s">
        <v>34</v>
      </c>
      <c r="T101" s="1" t="s">
        <v>34</v>
      </c>
      <c r="U101" s="1" t="s">
        <v>1149</v>
      </c>
      <c r="V101" s="1" t="s">
        <v>34</v>
      </c>
      <c r="W101" s="1" t="s">
        <v>1150</v>
      </c>
      <c r="X101" s="1" t="s">
        <v>1085</v>
      </c>
    </row>
    <row r="102" spans="1:24" ht="50.1" customHeight="1" x14ac:dyDescent="0.25">
      <c r="A102" s="1" t="s">
        <v>873</v>
      </c>
      <c r="B102" s="5" t="s">
        <v>639</v>
      </c>
      <c r="C102" s="2" t="s">
        <v>640</v>
      </c>
      <c r="D102" s="2" t="s">
        <v>48</v>
      </c>
      <c r="E102" s="2" t="s">
        <v>48</v>
      </c>
      <c r="F102" s="3">
        <v>8007693746</v>
      </c>
      <c r="G102" s="4" t="s">
        <v>48</v>
      </c>
      <c r="H102" s="1" t="s">
        <v>34</v>
      </c>
      <c r="I102" s="1">
        <v>990803</v>
      </c>
      <c r="J102" s="1" t="s">
        <v>48</v>
      </c>
      <c r="L102" s="1" t="s">
        <v>44</v>
      </c>
      <c r="N102" s="1" t="s">
        <v>3</v>
      </c>
      <c r="Q102" s="1" t="s">
        <v>34</v>
      </c>
      <c r="R102" s="1" t="s">
        <v>36</v>
      </c>
      <c r="S102" s="1" t="s">
        <v>34</v>
      </c>
      <c r="T102" s="1" t="s">
        <v>36</v>
      </c>
      <c r="U102" s="1" t="s">
        <v>1213</v>
      </c>
      <c r="V102" s="1" t="s">
        <v>1210</v>
      </c>
      <c r="W102" s="1" t="s">
        <v>1213</v>
      </c>
      <c r="X102" s="1" t="s">
        <v>1213</v>
      </c>
    </row>
    <row r="103" spans="1:24" ht="50.1" customHeight="1" x14ac:dyDescent="0.25">
      <c r="A103" s="1" t="s">
        <v>946</v>
      </c>
      <c r="B103" s="2" t="s">
        <v>384</v>
      </c>
      <c r="C103" s="2" t="s">
        <v>828</v>
      </c>
      <c r="D103" s="2" t="s">
        <v>48</v>
      </c>
      <c r="E103" s="2" t="s">
        <v>48</v>
      </c>
      <c r="F103" s="3">
        <v>7075025454</v>
      </c>
      <c r="G103" s="4" t="s">
        <v>48</v>
      </c>
      <c r="H103" s="1" t="s">
        <v>34</v>
      </c>
      <c r="I103" s="1">
        <v>814866</v>
      </c>
      <c r="J103" s="1" t="s">
        <v>48</v>
      </c>
      <c r="K103" s="1" t="s">
        <v>35</v>
      </c>
      <c r="L103" s="1" t="s">
        <v>961</v>
      </c>
      <c r="M103" s="1" t="s">
        <v>2</v>
      </c>
      <c r="N103" s="1" t="s">
        <v>3</v>
      </c>
      <c r="O103" s="1" t="s">
        <v>0</v>
      </c>
      <c r="Q103" s="1" t="s">
        <v>34</v>
      </c>
      <c r="R103" s="1" t="s">
        <v>34</v>
      </c>
      <c r="S103" s="1" t="s">
        <v>34</v>
      </c>
      <c r="T103" s="1" t="s">
        <v>36</v>
      </c>
      <c r="U103" s="1" t="s">
        <v>1213</v>
      </c>
      <c r="V103" s="1" t="s">
        <v>1210</v>
      </c>
      <c r="W103" s="1" t="s">
        <v>1213</v>
      </c>
      <c r="X103" s="1" t="s">
        <v>829</v>
      </c>
    </row>
    <row r="104" spans="1:24" ht="50.1" customHeight="1" x14ac:dyDescent="0.25">
      <c r="A104" s="1" t="s">
        <v>485</v>
      </c>
      <c r="B104" s="5" t="s">
        <v>823</v>
      </c>
      <c r="C104" s="2" t="s">
        <v>486</v>
      </c>
      <c r="D104" s="2" t="s">
        <v>824</v>
      </c>
      <c r="E104" s="2" t="s">
        <v>48</v>
      </c>
      <c r="F104" s="3">
        <v>6196922015</v>
      </c>
      <c r="G104" s="4" t="s">
        <v>48</v>
      </c>
      <c r="H104" s="1" t="s">
        <v>34</v>
      </c>
      <c r="I104" s="1">
        <v>800657</v>
      </c>
      <c r="J104" s="1" t="s">
        <v>48</v>
      </c>
      <c r="K104" s="1" t="s">
        <v>35</v>
      </c>
      <c r="L104" s="1" t="s">
        <v>961</v>
      </c>
      <c r="M104" s="1" t="s">
        <v>2</v>
      </c>
      <c r="N104" s="1" t="s">
        <v>3</v>
      </c>
      <c r="O104" s="1" t="s">
        <v>0</v>
      </c>
      <c r="Q104" s="1" t="s">
        <v>34</v>
      </c>
      <c r="R104" s="1" t="s">
        <v>34</v>
      </c>
      <c r="S104" s="1" t="s">
        <v>34</v>
      </c>
      <c r="T104" s="1" t="s">
        <v>34</v>
      </c>
      <c r="U104" s="1" t="s">
        <v>1218</v>
      </c>
      <c r="V104" s="1" t="s">
        <v>34</v>
      </c>
      <c r="W104" s="1" t="s">
        <v>1070</v>
      </c>
      <c r="X104" s="1" t="s">
        <v>1023</v>
      </c>
    </row>
    <row r="105" spans="1:24" ht="50.1" customHeight="1" x14ac:dyDescent="0.25">
      <c r="A105" s="1" t="s">
        <v>115</v>
      </c>
      <c r="B105" s="5" t="s">
        <v>116</v>
      </c>
      <c r="C105" s="2" t="s">
        <v>117</v>
      </c>
      <c r="D105" s="2" t="s">
        <v>48</v>
      </c>
      <c r="E105" s="2" t="s">
        <v>48</v>
      </c>
      <c r="F105" s="3">
        <v>8669269997</v>
      </c>
      <c r="G105" s="4" t="s">
        <v>48</v>
      </c>
      <c r="H105" s="1" t="s">
        <v>34</v>
      </c>
      <c r="I105" s="1">
        <v>960376</v>
      </c>
      <c r="J105" s="1" t="s">
        <v>48</v>
      </c>
      <c r="K105" s="1" t="s">
        <v>35</v>
      </c>
      <c r="M105" s="1" t="s">
        <v>2</v>
      </c>
      <c r="N105" s="1" t="s">
        <v>3</v>
      </c>
      <c r="O105" s="1" t="s">
        <v>0</v>
      </c>
      <c r="P105" s="1" t="s">
        <v>1</v>
      </c>
      <c r="Q105" s="1" t="s">
        <v>34</v>
      </c>
      <c r="R105" s="1" t="s">
        <v>36</v>
      </c>
      <c r="S105" s="1" t="s">
        <v>34</v>
      </c>
      <c r="T105" s="1" t="s">
        <v>36</v>
      </c>
      <c r="U105" s="1" t="s">
        <v>1213</v>
      </c>
      <c r="V105" s="1" t="s">
        <v>34</v>
      </c>
      <c r="W105" s="1" t="s">
        <v>1152</v>
      </c>
      <c r="X105" s="1" t="s">
        <v>1151</v>
      </c>
    </row>
    <row r="106" spans="1:24" ht="50.1" customHeight="1" x14ac:dyDescent="0.25">
      <c r="A106" s="1" t="s">
        <v>920</v>
      </c>
      <c r="B106" s="5" t="s">
        <v>762</v>
      </c>
      <c r="C106" s="2" t="s">
        <v>763</v>
      </c>
      <c r="D106" s="2" t="s">
        <v>48</v>
      </c>
      <c r="E106" s="2" t="s">
        <v>48</v>
      </c>
      <c r="F106" s="3">
        <v>6198224828</v>
      </c>
      <c r="G106" s="4" t="s">
        <v>48</v>
      </c>
      <c r="H106" s="1" t="s">
        <v>34</v>
      </c>
      <c r="I106" s="1">
        <v>1018672</v>
      </c>
      <c r="J106" s="1" t="s">
        <v>48</v>
      </c>
      <c r="L106" s="1" t="s">
        <v>44</v>
      </c>
      <c r="O106" s="1" t="s">
        <v>0</v>
      </c>
      <c r="P106" s="1" t="s">
        <v>1</v>
      </c>
      <c r="Q106" s="1" t="s">
        <v>34</v>
      </c>
      <c r="R106" s="1" t="s">
        <v>36</v>
      </c>
      <c r="S106" s="1" t="s">
        <v>34</v>
      </c>
      <c r="T106" s="1" t="s">
        <v>34</v>
      </c>
      <c r="U106" s="1" t="s">
        <v>764</v>
      </c>
      <c r="V106" s="1" t="s">
        <v>1210</v>
      </c>
      <c r="W106" s="1" t="s">
        <v>1213</v>
      </c>
      <c r="X106" s="1" t="s">
        <v>1213</v>
      </c>
    </row>
    <row r="107" spans="1:24" ht="50.1" customHeight="1" x14ac:dyDescent="0.25">
      <c r="A107" s="1" t="s">
        <v>916</v>
      </c>
      <c r="B107" s="5" t="s">
        <v>755</v>
      </c>
      <c r="C107" s="2" t="s">
        <v>756</v>
      </c>
      <c r="D107" s="2" t="s">
        <v>48</v>
      </c>
      <c r="E107" s="2" t="s">
        <v>48</v>
      </c>
      <c r="F107" s="3">
        <v>4082544663</v>
      </c>
      <c r="G107" s="4" t="s">
        <v>48</v>
      </c>
      <c r="H107" s="1" t="s">
        <v>34</v>
      </c>
      <c r="I107" s="1">
        <v>820184</v>
      </c>
      <c r="J107" s="1" t="s">
        <v>48</v>
      </c>
      <c r="K107" s="1" t="s">
        <v>35</v>
      </c>
      <c r="L107" s="1" t="s">
        <v>961</v>
      </c>
      <c r="M107" s="1" t="s">
        <v>2</v>
      </c>
      <c r="N107" s="1" t="s">
        <v>3</v>
      </c>
      <c r="O107" s="1" t="s">
        <v>0</v>
      </c>
      <c r="P107" s="1" t="s">
        <v>1</v>
      </c>
      <c r="Q107" s="1" t="s">
        <v>34</v>
      </c>
      <c r="R107" s="1" t="s">
        <v>34</v>
      </c>
      <c r="S107" s="1" t="s">
        <v>34</v>
      </c>
      <c r="T107" s="1" t="s">
        <v>34</v>
      </c>
      <c r="U107" s="1" t="s">
        <v>1153</v>
      </c>
      <c r="V107" s="1" t="s">
        <v>34</v>
      </c>
      <c r="W107" s="1" t="s">
        <v>1024</v>
      </c>
      <c r="X107" s="1" t="s">
        <v>1086</v>
      </c>
    </row>
    <row r="108" spans="1:24" ht="50.1" customHeight="1" x14ac:dyDescent="0.25">
      <c r="A108" s="1" t="s">
        <v>134</v>
      </c>
      <c r="B108" s="2" t="s">
        <v>1376</v>
      </c>
      <c r="C108" s="2" t="s">
        <v>135</v>
      </c>
      <c r="D108" s="2" t="s">
        <v>48</v>
      </c>
      <c r="E108" s="2" t="s">
        <v>48</v>
      </c>
      <c r="F108" s="3">
        <v>6199618914</v>
      </c>
      <c r="G108" s="4" t="s">
        <v>48</v>
      </c>
      <c r="H108" s="1" t="s">
        <v>34</v>
      </c>
      <c r="I108" s="1">
        <v>1004233</v>
      </c>
      <c r="J108" s="1" t="s">
        <v>48</v>
      </c>
      <c r="K108" s="1" t="s">
        <v>35</v>
      </c>
      <c r="M108" s="1" t="s">
        <v>2</v>
      </c>
      <c r="N108" s="1" t="s">
        <v>3</v>
      </c>
      <c r="O108" s="1" t="s">
        <v>0</v>
      </c>
      <c r="Q108" s="1" t="s">
        <v>34</v>
      </c>
      <c r="R108" s="1" t="s">
        <v>36</v>
      </c>
      <c r="S108" s="1" t="s">
        <v>34</v>
      </c>
      <c r="T108" s="1" t="s">
        <v>36</v>
      </c>
      <c r="U108" s="1" t="s">
        <v>1213</v>
      </c>
      <c r="V108" s="1" t="s">
        <v>1210</v>
      </c>
      <c r="W108" s="1" t="s">
        <v>1213</v>
      </c>
      <c r="X108" s="1" t="s">
        <v>1213</v>
      </c>
    </row>
    <row r="109" spans="1:24" ht="50.1" customHeight="1" x14ac:dyDescent="0.25">
      <c r="A109" s="1" t="s">
        <v>875</v>
      </c>
      <c r="B109" s="5" t="s">
        <v>904</v>
      </c>
      <c r="C109" s="2" t="s">
        <v>643</v>
      </c>
      <c r="D109" s="2" t="s">
        <v>678</v>
      </c>
      <c r="E109" s="2" t="s">
        <v>48</v>
      </c>
      <c r="F109" s="3">
        <v>7603224433</v>
      </c>
      <c r="G109" s="4" t="s">
        <v>48</v>
      </c>
      <c r="H109" s="1" t="s">
        <v>34</v>
      </c>
      <c r="I109" s="1">
        <v>940550</v>
      </c>
      <c r="J109" s="1" t="s">
        <v>48</v>
      </c>
      <c r="K109" s="1" t="s">
        <v>35</v>
      </c>
      <c r="L109" s="1" t="s">
        <v>961</v>
      </c>
      <c r="M109" s="1" t="s">
        <v>2</v>
      </c>
      <c r="N109" s="1" t="s">
        <v>3</v>
      </c>
      <c r="O109" s="1" t="s">
        <v>0</v>
      </c>
      <c r="P109" s="1" t="s">
        <v>1</v>
      </c>
      <c r="Q109" s="1" t="s">
        <v>36</v>
      </c>
      <c r="R109" s="1" t="s">
        <v>34</v>
      </c>
      <c r="S109" s="1" t="s">
        <v>34</v>
      </c>
      <c r="T109" s="1" t="s">
        <v>34</v>
      </c>
      <c r="U109" s="1" t="s">
        <v>728</v>
      </c>
      <c r="V109" s="1" t="s">
        <v>34</v>
      </c>
      <c r="W109" s="1" t="s">
        <v>1219</v>
      </c>
      <c r="X109" s="1" t="s">
        <v>644</v>
      </c>
    </row>
    <row r="110" spans="1:24" ht="50.1" customHeight="1" x14ac:dyDescent="0.25">
      <c r="A110" s="1" t="s">
        <v>37</v>
      </c>
      <c r="B110" s="5" t="s">
        <v>38</v>
      </c>
      <c r="C110" s="2" t="s">
        <v>39</v>
      </c>
      <c r="D110" s="2" t="s">
        <v>48</v>
      </c>
      <c r="E110" s="2" t="s">
        <v>48</v>
      </c>
      <c r="F110" s="3">
        <v>5105084466</v>
      </c>
      <c r="G110" s="4" t="s">
        <v>48</v>
      </c>
      <c r="H110" s="1" t="s">
        <v>34</v>
      </c>
      <c r="I110" s="1">
        <v>874035</v>
      </c>
      <c r="J110" s="1" t="s">
        <v>48</v>
      </c>
      <c r="K110" s="1" t="s">
        <v>35</v>
      </c>
      <c r="M110" s="1" t="s">
        <v>2</v>
      </c>
      <c r="O110" s="1" t="s">
        <v>0</v>
      </c>
      <c r="Q110" s="1" t="s">
        <v>34</v>
      </c>
      <c r="R110" s="1" t="s">
        <v>34</v>
      </c>
      <c r="S110" s="1" t="s">
        <v>34</v>
      </c>
      <c r="T110" s="1" t="s">
        <v>34</v>
      </c>
      <c r="U110" s="1" t="s">
        <v>40</v>
      </c>
      <c r="V110" s="1" t="s">
        <v>1210</v>
      </c>
      <c r="W110" s="1" t="s">
        <v>1213</v>
      </c>
      <c r="X110" s="1" t="s">
        <v>1213</v>
      </c>
    </row>
    <row r="111" spans="1:24" ht="50.1" customHeight="1" x14ac:dyDescent="0.25">
      <c r="A111" s="1" t="s">
        <v>220</v>
      </c>
      <c r="B111" s="5" t="s">
        <v>221</v>
      </c>
      <c r="C111" s="2" t="s">
        <v>222</v>
      </c>
      <c r="D111" s="2" t="s">
        <v>48</v>
      </c>
      <c r="E111" s="2" t="s">
        <v>48</v>
      </c>
      <c r="F111" s="3">
        <v>4084063591</v>
      </c>
      <c r="G111" s="4" t="s">
        <v>48</v>
      </c>
      <c r="H111" s="1" t="s">
        <v>34</v>
      </c>
      <c r="I111" s="1">
        <v>999397</v>
      </c>
      <c r="J111" s="1" t="s">
        <v>48</v>
      </c>
      <c r="L111" s="1" t="s">
        <v>44</v>
      </c>
      <c r="O111" s="1" t="s">
        <v>0</v>
      </c>
      <c r="Q111" s="1" t="s">
        <v>34</v>
      </c>
      <c r="R111" s="1" t="s">
        <v>36</v>
      </c>
      <c r="S111" s="1" t="s">
        <v>34</v>
      </c>
      <c r="T111" s="1" t="s">
        <v>34</v>
      </c>
      <c r="U111" s="1" t="s">
        <v>1154</v>
      </c>
      <c r="V111" s="1" t="s">
        <v>34</v>
      </c>
      <c r="W111" s="1" t="s">
        <v>223</v>
      </c>
      <c r="X111" s="1" t="s">
        <v>1087</v>
      </c>
    </row>
    <row r="112" spans="1:24" ht="50.1" customHeight="1" x14ac:dyDescent="0.25">
      <c r="A112" s="1" t="s">
        <v>858</v>
      </c>
      <c r="B112" s="5" t="s">
        <v>597</v>
      </c>
      <c r="C112" s="2" t="s">
        <v>598</v>
      </c>
      <c r="D112" s="2" t="s">
        <v>48</v>
      </c>
      <c r="E112" s="2" t="s">
        <v>48</v>
      </c>
      <c r="F112" s="3">
        <v>8776076527</v>
      </c>
      <c r="G112" s="4" t="s">
        <v>48</v>
      </c>
      <c r="H112" s="1" t="s">
        <v>34</v>
      </c>
      <c r="I112" s="1">
        <v>1028965</v>
      </c>
      <c r="J112" s="1" t="s">
        <v>48</v>
      </c>
      <c r="K112" s="1" t="s">
        <v>35</v>
      </c>
      <c r="M112" s="1" t="s">
        <v>2</v>
      </c>
      <c r="O112" s="1" t="s">
        <v>0</v>
      </c>
      <c r="Q112" s="1" t="s">
        <v>34</v>
      </c>
      <c r="R112" s="1" t="s">
        <v>36</v>
      </c>
      <c r="S112" s="1" t="s">
        <v>34</v>
      </c>
      <c r="T112" s="1" t="s">
        <v>34</v>
      </c>
      <c r="U112" s="1" t="s">
        <v>599</v>
      </c>
      <c r="V112" s="1" t="s">
        <v>1210</v>
      </c>
      <c r="W112" s="1" t="s">
        <v>1213</v>
      </c>
      <c r="X112" s="1" t="s">
        <v>1213</v>
      </c>
    </row>
    <row r="113" spans="1:24" ht="50.1" customHeight="1" x14ac:dyDescent="0.25">
      <c r="A113" s="1" t="s">
        <v>272</v>
      </c>
      <c r="B113" s="5" t="s">
        <v>273</v>
      </c>
      <c r="C113" s="2" t="s">
        <v>1025</v>
      </c>
      <c r="D113" s="2" t="s">
        <v>48</v>
      </c>
      <c r="E113" s="2" t="s">
        <v>48</v>
      </c>
      <c r="F113" s="3">
        <v>8886964586</v>
      </c>
      <c r="G113" s="4" t="s">
        <v>48</v>
      </c>
      <c r="H113" s="1" t="s">
        <v>34</v>
      </c>
      <c r="I113" s="1">
        <v>1009260</v>
      </c>
      <c r="J113" s="1" t="s">
        <v>48</v>
      </c>
      <c r="K113" s="1" t="s">
        <v>35</v>
      </c>
      <c r="M113" s="1" t="s">
        <v>2</v>
      </c>
      <c r="O113" s="1" t="s">
        <v>0</v>
      </c>
      <c r="Q113" s="1" t="s">
        <v>36</v>
      </c>
      <c r="R113" s="1" t="s">
        <v>34</v>
      </c>
      <c r="S113" s="1" t="s">
        <v>34</v>
      </c>
      <c r="T113" s="1" t="s">
        <v>34</v>
      </c>
      <c r="U113" s="1" t="s">
        <v>978</v>
      </c>
      <c r="V113" s="1" t="s">
        <v>1210</v>
      </c>
      <c r="W113" s="1" t="s">
        <v>1213</v>
      </c>
      <c r="X113" s="1" t="s">
        <v>274</v>
      </c>
    </row>
    <row r="114" spans="1:24" ht="50.1" customHeight="1" x14ac:dyDescent="0.25">
      <c r="A114" s="1" t="s">
        <v>52</v>
      </c>
      <c r="B114" s="5" t="s">
        <v>53</v>
      </c>
      <c r="C114" s="2" t="s">
        <v>54</v>
      </c>
      <c r="D114" s="2" t="s">
        <v>48</v>
      </c>
      <c r="E114" s="2" t="s">
        <v>48</v>
      </c>
      <c r="F114" s="3">
        <v>8589520252</v>
      </c>
      <c r="G114" s="4" t="s">
        <v>48</v>
      </c>
      <c r="H114" s="1" t="s">
        <v>34</v>
      </c>
      <c r="I114" s="1">
        <v>1048992</v>
      </c>
      <c r="J114" s="1" t="s">
        <v>48</v>
      </c>
      <c r="K114" s="1" t="s">
        <v>35</v>
      </c>
      <c r="L114" s="1" t="s">
        <v>961</v>
      </c>
      <c r="M114" s="1" t="s">
        <v>2</v>
      </c>
      <c r="N114" s="1" t="s">
        <v>3</v>
      </c>
      <c r="O114" s="1" t="s">
        <v>0</v>
      </c>
      <c r="P114" s="1" t="s">
        <v>1</v>
      </c>
      <c r="Q114" s="1" t="s">
        <v>34</v>
      </c>
      <c r="R114" s="1" t="s">
        <v>34</v>
      </c>
      <c r="S114" s="1" t="s">
        <v>34</v>
      </c>
      <c r="T114" s="1" t="s">
        <v>34</v>
      </c>
      <c r="U114" s="1" t="s">
        <v>1155</v>
      </c>
      <c r="V114" s="1" t="s">
        <v>1210</v>
      </c>
      <c r="W114" s="1" t="s">
        <v>1213</v>
      </c>
      <c r="X114" s="1" t="s">
        <v>55</v>
      </c>
    </row>
    <row r="115" spans="1:24" ht="50.1" customHeight="1" x14ac:dyDescent="0.25">
      <c r="A115" s="1" t="s">
        <v>428</v>
      </c>
      <c r="B115" s="5" t="s">
        <v>177</v>
      </c>
      <c r="C115" s="2" t="s">
        <v>429</v>
      </c>
      <c r="D115" s="2" t="s">
        <v>178</v>
      </c>
      <c r="E115" s="2" t="s">
        <v>48</v>
      </c>
      <c r="F115" s="3">
        <v>8882442513</v>
      </c>
      <c r="G115" s="4" t="s">
        <v>48</v>
      </c>
      <c r="H115" s="1" t="s">
        <v>34</v>
      </c>
      <c r="I115" s="1">
        <v>998627</v>
      </c>
      <c r="J115" s="1" t="s">
        <v>48</v>
      </c>
      <c r="K115" s="1" t="s">
        <v>35</v>
      </c>
      <c r="L115" s="1" t="s">
        <v>961</v>
      </c>
      <c r="M115" s="1" t="s">
        <v>2</v>
      </c>
      <c r="N115" s="1" t="s">
        <v>3</v>
      </c>
      <c r="O115" s="1" t="s">
        <v>0</v>
      </c>
      <c r="P115" s="1" t="s">
        <v>1</v>
      </c>
      <c r="Q115" s="1" t="s">
        <v>34</v>
      </c>
      <c r="R115" s="1" t="s">
        <v>34</v>
      </c>
      <c r="S115" s="1" t="s">
        <v>34</v>
      </c>
      <c r="T115" s="1" t="s">
        <v>34</v>
      </c>
      <c r="U115" s="1" t="s">
        <v>430</v>
      </c>
      <c r="V115" s="1" t="s">
        <v>1210</v>
      </c>
      <c r="W115" s="1" t="s">
        <v>1213</v>
      </c>
      <c r="X115" s="1" t="s">
        <v>1026</v>
      </c>
    </row>
    <row r="116" spans="1:24" ht="50.1" customHeight="1" x14ac:dyDescent="0.25">
      <c r="A116" s="1" t="s">
        <v>179</v>
      </c>
      <c r="B116" s="5" t="s">
        <v>180</v>
      </c>
      <c r="C116" s="2" t="s">
        <v>181</v>
      </c>
      <c r="D116" s="2" t="s">
        <v>48</v>
      </c>
      <c r="E116" s="2" t="s">
        <v>48</v>
      </c>
      <c r="F116" s="3">
        <v>4085838101</v>
      </c>
      <c r="G116" s="4" t="s">
        <v>48</v>
      </c>
      <c r="H116" s="1" t="s">
        <v>34</v>
      </c>
      <c r="I116" s="1">
        <v>1031953</v>
      </c>
      <c r="J116" s="1" t="s">
        <v>48</v>
      </c>
      <c r="K116" s="1" t="s">
        <v>35</v>
      </c>
      <c r="L116" s="1" t="s">
        <v>961</v>
      </c>
      <c r="M116" s="1" t="s">
        <v>2</v>
      </c>
      <c r="N116" s="1" t="s">
        <v>3</v>
      </c>
      <c r="O116" s="1" t="s">
        <v>0</v>
      </c>
      <c r="Q116" s="1" t="s">
        <v>36</v>
      </c>
      <c r="R116" s="1" t="s">
        <v>34</v>
      </c>
      <c r="S116" s="1" t="s">
        <v>34</v>
      </c>
      <c r="T116" s="1" t="s">
        <v>34</v>
      </c>
      <c r="U116" s="1" t="s">
        <v>182</v>
      </c>
      <c r="V116" s="1" t="s">
        <v>34</v>
      </c>
      <c r="W116" s="1" t="s">
        <v>1028</v>
      </c>
      <c r="X116" s="1" t="s">
        <v>1027</v>
      </c>
    </row>
    <row r="117" spans="1:24" ht="50.1" customHeight="1" x14ac:dyDescent="0.25">
      <c r="A117" s="1" t="s">
        <v>868</v>
      </c>
      <c r="B117" s="5" t="s">
        <v>869</v>
      </c>
      <c r="C117" s="2" t="s">
        <v>632</v>
      </c>
      <c r="D117" s="2" t="s">
        <v>48</v>
      </c>
      <c r="E117" s="2" t="s">
        <v>48</v>
      </c>
      <c r="F117" s="3">
        <v>7072728136</v>
      </c>
      <c r="G117" s="4">
        <v>7079858805</v>
      </c>
      <c r="H117" s="1" t="s">
        <v>34</v>
      </c>
      <c r="I117" s="1">
        <v>1058615</v>
      </c>
      <c r="J117" s="1" t="s">
        <v>48</v>
      </c>
      <c r="K117" s="1" t="s">
        <v>35</v>
      </c>
      <c r="M117" s="1" t="s">
        <v>2</v>
      </c>
      <c r="O117" s="1" t="s">
        <v>0</v>
      </c>
      <c r="P117" s="1" t="s">
        <v>1</v>
      </c>
      <c r="Q117" s="1" t="s">
        <v>34</v>
      </c>
      <c r="R117" s="1" t="s">
        <v>34</v>
      </c>
      <c r="S117" s="1" t="s">
        <v>34</v>
      </c>
      <c r="T117" s="1" t="s">
        <v>36</v>
      </c>
      <c r="U117" s="1" t="s">
        <v>1213</v>
      </c>
      <c r="V117" s="1" t="s">
        <v>34</v>
      </c>
      <c r="W117" s="1" t="s">
        <v>1157</v>
      </c>
      <c r="X117" s="1" t="s">
        <v>1156</v>
      </c>
    </row>
    <row r="118" spans="1:24" ht="50.1" customHeight="1" x14ac:dyDescent="0.25">
      <c r="A118" s="1" t="s">
        <v>234</v>
      </c>
      <c r="B118" s="5" t="s">
        <v>1377</v>
      </c>
      <c r="C118" s="2" t="s">
        <v>236</v>
      </c>
      <c r="D118" s="2" t="s">
        <v>48</v>
      </c>
      <c r="E118" s="2" t="s">
        <v>48</v>
      </c>
      <c r="F118" s="3">
        <v>7078003884</v>
      </c>
      <c r="G118" s="4" t="s">
        <v>48</v>
      </c>
      <c r="H118" s="1" t="s">
        <v>34</v>
      </c>
      <c r="I118" s="1">
        <v>266927</v>
      </c>
      <c r="J118" s="1" t="s">
        <v>48</v>
      </c>
      <c r="K118" s="1" t="s">
        <v>35</v>
      </c>
      <c r="M118" s="1" t="s">
        <v>2</v>
      </c>
      <c r="O118" s="1" t="s">
        <v>0</v>
      </c>
      <c r="Q118" s="1" t="s">
        <v>1210</v>
      </c>
      <c r="R118" s="1" t="s">
        <v>1210</v>
      </c>
      <c r="S118" s="1" t="s">
        <v>1210</v>
      </c>
      <c r="T118" s="1" t="s">
        <v>34</v>
      </c>
      <c r="U118" s="1" t="s">
        <v>1213</v>
      </c>
      <c r="V118" s="1" t="s">
        <v>1210</v>
      </c>
      <c r="W118" s="1" t="s">
        <v>1213</v>
      </c>
      <c r="X118" s="1" t="s">
        <v>1213</v>
      </c>
    </row>
    <row r="119" spans="1:24" ht="50.1" customHeight="1" x14ac:dyDescent="0.25">
      <c r="A119" s="1" t="s">
        <v>867</v>
      </c>
      <c r="B119" s="5" t="s">
        <v>625</v>
      </c>
      <c r="C119" s="2" t="s">
        <v>626</v>
      </c>
      <c r="D119" s="2" t="s">
        <v>48</v>
      </c>
      <c r="E119" s="2" t="s">
        <v>48</v>
      </c>
      <c r="F119" s="3">
        <v>7072286266</v>
      </c>
      <c r="G119" s="4" t="s">
        <v>48</v>
      </c>
      <c r="H119" s="1" t="s">
        <v>34</v>
      </c>
      <c r="I119" s="1">
        <v>999979</v>
      </c>
      <c r="J119" s="1" t="s">
        <v>48</v>
      </c>
      <c r="K119" s="1" t="s">
        <v>35</v>
      </c>
      <c r="M119" s="1" t="s">
        <v>2</v>
      </c>
      <c r="O119" s="1" t="s">
        <v>0</v>
      </c>
      <c r="Q119" s="1" t="s">
        <v>34</v>
      </c>
      <c r="R119" s="1" t="s">
        <v>36</v>
      </c>
      <c r="S119" s="1" t="s">
        <v>34</v>
      </c>
      <c r="T119" s="1" t="s">
        <v>36</v>
      </c>
      <c r="U119" s="1" t="s">
        <v>1213</v>
      </c>
      <c r="V119" s="1" t="s">
        <v>1210</v>
      </c>
      <c r="W119" s="1" t="s">
        <v>1213</v>
      </c>
      <c r="X119" s="1" t="s">
        <v>627</v>
      </c>
    </row>
    <row r="120" spans="1:24" ht="50.1" customHeight="1" x14ac:dyDescent="0.25">
      <c r="A120" s="1" t="s">
        <v>879</v>
      </c>
      <c r="B120" s="5" t="s">
        <v>655</v>
      </c>
      <c r="C120" s="2" t="s">
        <v>660</v>
      </c>
      <c r="D120" s="2" t="s">
        <v>656</v>
      </c>
      <c r="E120" s="2" t="s">
        <v>48</v>
      </c>
      <c r="F120" s="3">
        <v>6194487770</v>
      </c>
      <c r="G120" s="4" t="s">
        <v>48</v>
      </c>
      <c r="H120" s="1" t="s">
        <v>34</v>
      </c>
      <c r="I120" s="1">
        <v>827648</v>
      </c>
      <c r="J120" s="1" t="s">
        <v>48</v>
      </c>
      <c r="K120" s="1" t="s">
        <v>35</v>
      </c>
      <c r="L120" s="1" t="s">
        <v>44</v>
      </c>
      <c r="M120" s="1" t="s">
        <v>2</v>
      </c>
      <c r="N120" s="1" t="s">
        <v>3</v>
      </c>
      <c r="O120" s="1" t="s">
        <v>0</v>
      </c>
      <c r="Q120" s="1" t="s">
        <v>34</v>
      </c>
      <c r="R120" s="1" t="s">
        <v>36</v>
      </c>
      <c r="S120" s="1" t="s">
        <v>34</v>
      </c>
      <c r="T120" s="1" t="s">
        <v>34</v>
      </c>
      <c r="U120" s="1" t="s">
        <v>1158</v>
      </c>
      <c r="V120" s="1" t="s">
        <v>1210</v>
      </c>
      <c r="W120" s="1" t="s">
        <v>1213</v>
      </c>
      <c r="X120" s="1" t="s">
        <v>1213</v>
      </c>
    </row>
    <row r="121" spans="1:24" ht="50.1" customHeight="1" x14ac:dyDescent="0.25">
      <c r="A121" s="1" t="s">
        <v>908</v>
      </c>
      <c r="B121" s="5" t="s">
        <v>741</v>
      </c>
      <c r="C121" s="2" t="s">
        <v>1029</v>
      </c>
      <c r="D121" s="2" t="s">
        <v>48</v>
      </c>
      <c r="E121" s="2" t="s">
        <v>48</v>
      </c>
      <c r="F121" s="3">
        <v>7079945911</v>
      </c>
      <c r="G121" s="4" t="s">
        <v>48</v>
      </c>
      <c r="H121" s="1" t="s">
        <v>34</v>
      </c>
      <c r="I121" s="1">
        <v>708935</v>
      </c>
      <c r="J121" s="1" t="s">
        <v>48</v>
      </c>
      <c r="K121" s="1" t="s">
        <v>35</v>
      </c>
      <c r="L121" s="1" t="s">
        <v>961</v>
      </c>
      <c r="M121" s="1" t="s">
        <v>2</v>
      </c>
      <c r="N121" s="1" t="s">
        <v>3</v>
      </c>
      <c r="O121" s="1" t="s">
        <v>0</v>
      </c>
      <c r="Q121" s="1" t="s">
        <v>34</v>
      </c>
      <c r="R121" s="1" t="s">
        <v>34</v>
      </c>
      <c r="S121" s="1" t="s">
        <v>34</v>
      </c>
      <c r="T121" s="1" t="s">
        <v>34</v>
      </c>
      <c r="U121" s="1" t="s">
        <v>742</v>
      </c>
      <c r="V121" s="1" t="s">
        <v>34</v>
      </c>
      <c r="W121" s="1" t="s">
        <v>743</v>
      </c>
      <c r="X121" s="1" t="s">
        <v>1213</v>
      </c>
    </row>
    <row r="122" spans="1:24" ht="50.1" customHeight="1" x14ac:dyDescent="0.25">
      <c r="A122" s="1" t="s">
        <v>75</v>
      </c>
      <c r="B122" s="2" t="s">
        <v>384</v>
      </c>
      <c r="C122" s="2" t="s">
        <v>76</v>
      </c>
      <c r="D122" s="2" t="s">
        <v>48</v>
      </c>
      <c r="E122" s="2" t="s">
        <v>48</v>
      </c>
      <c r="F122" s="3">
        <v>7605190841</v>
      </c>
      <c r="G122" s="4" t="s">
        <v>48</v>
      </c>
      <c r="H122" s="1" t="s">
        <v>34</v>
      </c>
      <c r="I122" s="1">
        <v>634629</v>
      </c>
      <c r="J122" s="1" t="s">
        <v>48</v>
      </c>
      <c r="K122" s="1" t="s">
        <v>35</v>
      </c>
      <c r="L122" s="1" t="s">
        <v>961</v>
      </c>
      <c r="M122" s="1" t="s">
        <v>2</v>
      </c>
      <c r="N122" s="1" t="s">
        <v>3</v>
      </c>
      <c r="O122" s="1" t="s">
        <v>0</v>
      </c>
      <c r="P122" s="1" t="s">
        <v>1</v>
      </c>
      <c r="Q122" s="1" t="s">
        <v>36</v>
      </c>
      <c r="R122" s="1" t="s">
        <v>34</v>
      </c>
      <c r="S122" s="1" t="s">
        <v>34</v>
      </c>
      <c r="T122" s="1" t="s">
        <v>36</v>
      </c>
      <c r="U122" s="1" t="s">
        <v>1213</v>
      </c>
      <c r="V122" s="1" t="s">
        <v>1210</v>
      </c>
      <c r="W122" s="1" t="s">
        <v>1213</v>
      </c>
      <c r="X122" s="1" t="s">
        <v>1213</v>
      </c>
    </row>
    <row r="123" spans="1:24" ht="50.1" customHeight="1" x14ac:dyDescent="0.25">
      <c r="A123" s="1" t="s">
        <v>41</v>
      </c>
      <c r="B123" s="5" t="s">
        <v>1378</v>
      </c>
      <c r="C123" s="2" t="s">
        <v>43</v>
      </c>
      <c r="D123" s="2" t="s">
        <v>48</v>
      </c>
      <c r="E123" s="2" t="s">
        <v>48</v>
      </c>
      <c r="F123" s="3">
        <v>9162249553</v>
      </c>
      <c r="G123" s="4" t="s">
        <v>48</v>
      </c>
      <c r="H123" s="1" t="s">
        <v>34</v>
      </c>
      <c r="I123" s="1">
        <v>831640</v>
      </c>
      <c r="J123" s="1" t="s">
        <v>48</v>
      </c>
      <c r="K123" s="1" t="s">
        <v>35</v>
      </c>
      <c r="L123" s="1" t="s">
        <v>961</v>
      </c>
      <c r="M123" s="1" t="s">
        <v>2</v>
      </c>
      <c r="N123" s="1" t="s">
        <v>3</v>
      </c>
      <c r="O123" s="1" t="s">
        <v>0</v>
      </c>
      <c r="Q123" s="1" t="s">
        <v>1210</v>
      </c>
      <c r="R123" s="1" t="s">
        <v>1210</v>
      </c>
      <c r="S123" s="1" t="s">
        <v>1210</v>
      </c>
      <c r="T123" s="1" t="s">
        <v>36</v>
      </c>
      <c r="U123" s="1" t="s">
        <v>1213</v>
      </c>
      <c r="V123" s="1" t="s">
        <v>1210</v>
      </c>
      <c r="W123" s="1" t="s">
        <v>1213</v>
      </c>
      <c r="X123" s="1" t="s">
        <v>1213</v>
      </c>
    </row>
    <row r="124" spans="1:24" ht="50.1" customHeight="1" x14ac:dyDescent="0.25">
      <c r="A124" s="1" t="s">
        <v>267</v>
      </c>
      <c r="B124" s="5" t="s">
        <v>1379</v>
      </c>
      <c r="C124" s="2" t="s">
        <v>269</v>
      </c>
      <c r="D124" s="2" t="s">
        <v>48</v>
      </c>
      <c r="E124" s="2" t="s">
        <v>48</v>
      </c>
      <c r="F124" s="3">
        <v>8558005682</v>
      </c>
      <c r="G124" s="4" t="s">
        <v>48</v>
      </c>
      <c r="H124" s="1" t="s">
        <v>34</v>
      </c>
      <c r="I124" s="1">
        <v>1063901</v>
      </c>
      <c r="J124" s="1" t="s">
        <v>48</v>
      </c>
      <c r="K124" s="1" t="s">
        <v>35</v>
      </c>
      <c r="L124" s="1" t="s">
        <v>961</v>
      </c>
      <c r="M124" s="1" t="s">
        <v>2</v>
      </c>
      <c r="O124" s="1" t="s">
        <v>0</v>
      </c>
      <c r="Q124" s="1" t="s">
        <v>34</v>
      </c>
      <c r="R124" s="1" t="s">
        <v>34</v>
      </c>
      <c r="S124" s="1" t="s">
        <v>34</v>
      </c>
      <c r="T124" s="1" t="s">
        <v>34</v>
      </c>
      <c r="U124" s="1" t="s">
        <v>270</v>
      </c>
      <c r="V124" s="1" t="s">
        <v>34</v>
      </c>
      <c r="W124" s="1" t="s">
        <v>1030</v>
      </c>
      <c r="X124" s="1" t="s">
        <v>271</v>
      </c>
    </row>
    <row r="125" spans="1:24" ht="50.1" customHeight="1" x14ac:dyDescent="0.25">
      <c r="A125" s="1" t="s">
        <v>109</v>
      </c>
      <c r="B125" s="5" t="s">
        <v>110</v>
      </c>
      <c r="C125" s="2" t="s">
        <v>111</v>
      </c>
      <c r="D125" s="2" t="s">
        <v>48</v>
      </c>
      <c r="E125" s="2" t="s">
        <v>48</v>
      </c>
      <c r="F125" s="3">
        <v>5597477491</v>
      </c>
      <c r="G125" s="4" t="s">
        <v>48</v>
      </c>
      <c r="H125" s="1" t="s">
        <v>34</v>
      </c>
      <c r="I125" s="1">
        <v>1030786</v>
      </c>
      <c r="J125" s="1" t="s">
        <v>48</v>
      </c>
      <c r="K125" s="1" t="s">
        <v>35</v>
      </c>
      <c r="M125" s="1" t="s">
        <v>2</v>
      </c>
      <c r="O125" s="1" t="s">
        <v>0</v>
      </c>
      <c r="Q125" s="1" t="s">
        <v>34</v>
      </c>
      <c r="R125" s="1" t="s">
        <v>34</v>
      </c>
      <c r="S125" s="1" t="s">
        <v>34</v>
      </c>
      <c r="T125" s="1" t="s">
        <v>34</v>
      </c>
      <c r="U125" s="1" t="s">
        <v>112</v>
      </c>
      <c r="V125" s="1" t="s">
        <v>34</v>
      </c>
      <c r="W125" s="1" t="s">
        <v>114</v>
      </c>
      <c r="X125" s="1" t="s">
        <v>113</v>
      </c>
    </row>
    <row r="126" spans="1:24" ht="50.1" customHeight="1" x14ac:dyDescent="0.25">
      <c r="A126" s="1" t="s">
        <v>895</v>
      </c>
      <c r="B126" s="5" t="s">
        <v>706</v>
      </c>
      <c r="C126" s="2" t="s">
        <v>707</v>
      </c>
      <c r="D126" s="2" t="s">
        <v>48</v>
      </c>
      <c r="E126" s="2" t="s">
        <v>48</v>
      </c>
      <c r="F126" s="3">
        <v>8183730077</v>
      </c>
      <c r="G126" s="4" t="s">
        <v>48</v>
      </c>
      <c r="H126" s="1" t="s">
        <v>34</v>
      </c>
      <c r="I126" s="1">
        <v>974115</v>
      </c>
      <c r="J126" s="1" t="s">
        <v>48</v>
      </c>
      <c r="K126" s="1" t="s">
        <v>35</v>
      </c>
      <c r="L126" s="1" t="s">
        <v>961</v>
      </c>
      <c r="M126" s="1" t="s">
        <v>2</v>
      </c>
      <c r="N126" s="1" t="s">
        <v>3</v>
      </c>
      <c r="O126" s="1" t="s">
        <v>0</v>
      </c>
      <c r="P126" s="1" t="s">
        <v>1</v>
      </c>
      <c r="Q126" s="1" t="s">
        <v>34</v>
      </c>
      <c r="R126" s="1" t="s">
        <v>34</v>
      </c>
      <c r="S126" s="1" t="s">
        <v>34</v>
      </c>
      <c r="T126" s="1" t="s">
        <v>34</v>
      </c>
      <c r="U126" s="1" t="s">
        <v>708</v>
      </c>
      <c r="V126" s="1" t="s">
        <v>1210</v>
      </c>
      <c r="W126" s="1" t="s">
        <v>1213</v>
      </c>
      <c r="X126" s="1" t="s">
        <v>1213</v>
      </c>
    </row>
    <row r="127" spans="1:24" ht="50.1" customHeight="1" x14ac:dyDescent="0.25">
      <c r="A127" s="1" t="s">
        <v>932</v>
      </c>
      <c r="B127" s="5" t="s">
        <v>785</v>
      </c>
      <c r="C127" s="2" t="s">
        <v>786</v>
      </c>
      <c r="D127" s="2" t="s">
        <v>48</v>
      </c>
      <c r="E127" s="2" t="s">
        <v>48</v>
      </c>
      <c r="F127" s="3">
        <v>5303885536</v>
      </c>
      <c r="G127" s="4" t="s">
        <v>48</v>
      </c>
      <c r="H127" s="1" t="s">
        <v>34</v>
      </c>
      <c r="I127" s="1">
        <v>1001369</v>
      </c>
      <c r="J127" s="1" t="s">
        <v>48</v>
      </c>
      <c r="K127" s="1" t="s">
        <v>35</v>
      </c>
      <c r="L127" s="1" t="s">
        <v>961</v>
      </c>
      <c r="M127" s="1" t="s">
        <v>2</v>
      </c>
      <c r="N127" s="1" t="s">
        <v>3</v>
      </c>
      <c r="O127" s="1" t="s">
        <v>0</v>
      </c>
      <c r="P127" s="1" t="s">
        <v>1</v>
      </c>
      <c r="Q127" s="1" t="s">
        <v>34</v>
      </c>
      <c r="R127" s="1" t="s">
        <v>36</v>
      </c>
      <c r="S127" s="1" t="s">
        <v>34</v>
      </c>
      <c r="T127" s="1" t="s">
        <v>36</v>
      </c>
      <c r="U127" s="1" t="s">
        <v>1213</v>
      </c>
      <c r="V127" s="1" t="s">
        <v>1210</v>
      </c>
      <c r="W127" s="1" t="s">
        <v>1213</v>
      </c>
      <c r="X127" s="1" t="s">
        <v>1031</v>
      </c>
    </row>
    <row r="128" spans="1:24" ht="50.1" customHeight="1" x14ac:dyDescent="0.25">
      <c r="A128" s="1" t="s">
        <v>889</v>
      </c>
      <c r="B128" s="5" t="s">
        <v>1380</v>
      </c>
      <c r="C128" s="2" t="s">
        <v>688</v>
      </c>
      <c r="D128" s="2" t="s">
        <v>48</v>
      </c>
      <c r="E128" s="2" t="s">
        <v>48</v>
      </c>
      <c r="F128" s="3">
        <v>2132803548</v>
      </c>
      <c r="G128" s="4" t="s">
        <v>48</v>
      </c>
      <c r="H128" s="1" t="s">
        <v>34</v>
      </c>
      <c r="I128" s="1">
        <v>706601</v>
      </c>
      <c r="J128" s="1" t="s">
        <v>48</v>
      </c>
      <c r="K128" s="1" t="s">
        <v>35</v>
      </c>
      <c r="L128" s="1" t="s">
        <v>961</v>
      </c>
      <c r="M128" s="1" t="s">
        <v>2</v>
      </c>
      <c r="N128" s="1" t="s">
        <v>3</v>
      </c>
      <c r="O128" s="1" t="s">
        <v>0</v>
      </c>
      <c r="Q128" s="1" t="s">
        <v>34</v>
      </c>
      <c r="R128" s="1" t="s">
        <v>34</v>
      </c>
      <c r="S128" s="1" t="s">
        <v>34</v>
      </c>
      <c r="T128" s="1" t="s">
        <v>34</v>
      </c>
      <c r="U128" s="1" t="s">
        <v>1213</v>
      </c>
      <c r="V128" s="1" t="s">
        <v>34</v>
      </c>
      <c r="W128" s="1" t="s">
        <v>1160</v>
      </c>
      <c r="X128" s="1" t="s">
        <v>1159</v>
      </c>
    </row>
    <row r="129" spans="1:24" ht="50.1" customHeight="1" x14ac:dyDescent="0.25">
      <c r="A129" s="1" t="s">
        <v>125</v>
      </c>
      <c r="B129" s="5" t="s">
        <v>1381</v>
      </c>
      <c r="C129" s="2" t="s">
        <v>127</v>
      </c>
      <c r="D129" s="2" t="s">
        <v>48</v>
      </c>
      <c r="E129" s="2" t="s">
        <v>48</v>
      </c>
      <c r="F129" s="3">
        <v>8006726730</v>
      </c>
      <c r="G129" s="4" t="s">
        <v>48</v>
      </c>
      <c r="H129" s="1" t="s">
        <v>34</v>
      </c>
      <c r="I129" s="1">
        <v>1002782</v>
      </c>
      <c r="J129" s="1" t="s">
        <v>48</v>
      </c>
      <c r="K129" s="1" t="s">
        <v>35</v>
      </c>
      <c r="L129" s="1" t="s">
        <v>961</v>
      </c>
      <c r="M129" s="1" t="s">
        <v>2</v>
      </c>
      <c r="N129" s="1" t="s">
        <v>3</v>
      </c>
      <c r="O129" s="1" t="s">
        <v>0</v>
      </c>
      <c r="Q129" s="1" t="s">
        <v>34</v>
      </c>
      <c r="R129" s="1" t="s">
        <v>34</v>
      </c>
      <c r="S129" s="1" t="s">
        <v>34</v>
      </c>
      <c r="T129" s="1" t="s">
        <v>36</v>
      </c>
      <c r="U129" s="1" t="s">
        <v>1213</v>
      </c>
      <c r="V129" s="1" t="s">
        <v>34</v>
      </c>
      <c r="W129" s="1" t="s">
        <v>128</v>
      </c>
      <c r="X129" s="1" t="s">
        <v>967</v>
      </c>
    </row>
    <row r="130" spans="1:24" ht="50.1" customHeight="1" x14ac:dyDescent="0.25">
      <c r="A130" s="1" t="s">
        <v>595</v>
      </c>
      <c r="B130" s="5" t="s">
        <v>1382</v>
      </c>
      <c r="C130" s="2" t="s">
        <v>596</v>
      </c>
      <c r="D130" s="2" t="s">
        <v>48</v>
      </c>
      <c r="E130" s="2" t="s">
        <v>48</v>
      </c>
      <c r="F130" s="3">
        <v>8444238489</v>
      </c>
      <c r="G130" s="3">
        <v>3236800003</v>
      </c>
      <c r="H130" s="1" t="s">
        <v>34</v>
      </c>
      <c r="I130" s="1">
        <v>1029503</v>
      </c>
      <c r="J130" s="1" t="s">
        <v>48</v>
      </c>
      <c r="K130" s="1" t="s">
        <v>35</v>
      </c>
      <c r="L130" s="1" t="s">
        <v>961</v>
      </c>
      <c r="M130" s="1" t="s">
        <v>2</v>
      </c>
      <c r="N130" s="1" t="s">
        <v>3</v>
      </c>
      <c r="O130" s="1" t="s">
        <v>0</v>
      </c>
      <c r="Q130" s="1" t="s">
        <v>34</v>
      </c>
      <c r="R130" s="1" t="s">
        <v>34</v>
      </c>
      <c r="S130" s="1" t="s">
        <v>34</v>
      </c>
      <c r="T130" s="1" t="s">
        <v>36</v>
      </c>
      <c r="U130" s="1" t="s">
        <v>1161</v>
      </c>
      <c r="V130" s="1" t="s">
        <v>1210</v>
      </c>
      <c r="W130" s="1" t="s">
        <v>1213</v>
      </c>
      <c r="X130" s="1" t="s">
        <v>1213</v>
      </c>
    </row>
    <row r="131" spans="1:24" ht="50.1" customHeight="1" x14ac:dyDescent="0.25">
      <c r="A131" s="1" t="s">
        <v>448</v>
      </c>
      <c r="B131" s="5" t="s">
        <v>449</v>
      </c>
      <c r="C131" s="2" t="s">
        <v>450</v>
      </c>
      <c r="D131" s="2" t="s">
        <v>48</v>
      </c>
      <c r="E131" s="2" t="s">
        <v>48</v>
      </c>
      <c r="F131" s="3">
        <v>8186126453</v>
      </c>
      <c r="G131" s="4" t="s">
        <v>48</v>
      </c>
      <c r="H131" s="1" t="s">
        <v>34</v>
      </c>
      <c r="I131" s="1">
        <v>982277</v>
      </c>
      <c r="J131" s="1" t="s">
        <v>48</v>
      </c>
      <c r="Q131" s="1" t="s">
        <v>34</v>
      </c>
      <c r="R131" s="1" t="s">
        <v>36</v>
      </c>
      <c r="S131" s="1" t="s">
        <v>34</v>
      </c>
      <c r="T131" s="1" t="s">
        <v>36</v>
      </c>
      <c r="U131" s="1" t="s">
        <v>1213</v>
      </c>
      <c r="V131" s="1" t="s">
        <v>1210</v>
      </c>
      <c r="W131" s="1" t="s">
        <v>1213</v>
      </c>
      <c r="X131" s="1" t="s">
        <v>1213</v>
      </c>
    </row>
    <row r="132" spans="1:24" ht="50.1" customHeight="1" x14ac:dyDescent="0.25">
      <c r="A132" s="1" t="s">
        <v>187</v>
      </c>
      <c r="B132" s="5" t="s">
        <v>188</v>
      </c>
      <c r="C132" s="2" t="s">
        <v>189</v>
      </c>
      <c r="D132" s="2" t="s">
        <v>48</v>
      </c>
      <c r="E132" s="2" t="s">
        <v>48</v>
      </c>
      <c r="F132" s="3">
        <v>6194489545</v>
      </c>
      <c r="G132" s="4" t="s">
        <v>48</v>
      </c>
      <c r="H132" s="1" t="s">
        <v>34</v>
      </c>
      <c r="I132" s="1">
        <v>759171</v>
      </c>
      <c r="J132" s="1" t="s">
        <v>48</v>
      </c>
      <c r="K132" s="1" t="s">
        <v>35</v>
      </c>
      <c r="O132" s="1" t="s">
        <v>0</v>
      </c>
      <c r="Q132" s="1" t="s">
        <v>1210</v>
      </c>
      <c r="R132" s="1" t="s">
        <v>1210</v>
      </c>
      <c r="S132" s="1" t="s">
        <v>1210</v>
      </c>
      <c r="T132" s="1" t="s">
        <v>36</v>
      </c>
      <c r="U132" s="1" t="s">
        <v>1213</v>
      </c>
      <c r="V132" s="1" t="s">
        <v>1210</v>
      </c>
      <c r="W132" s="1" t="s">
        <v>1213</v>
      </c>
      <c r="X132" s="1" t="s">
        <v>1213</v>
      </c>
    </row>
    <row r="133" spans="1:24" ht="50.1" customHeight="1" x14ac:dyDescent="0.25">
      <c r="A133" s="1" t="s">
        <v>860</v>
      </c>
      <c r="B133" s="5" t="s">
        <v>602</v>
      </c>
      <c r="C133" s="2" t="s">
        <v>603</v>
      </c>
      <c r="D133" s="2" t="s">
        <v>48</v>
      </c>
      <c r="E133" s="2" t="s">
        <v>48</v>
      </c>
      <c r="F133" s="3">
        <v>8186311451</v>
      </c>
      <c r="G133" s="4" t="s">
        <v>954</v>
      </c>
      <c r="H133" s="1" t="s">
        <v>34</v>
      </c>
      <c r="I133" s="1">
        <v>875584</v>
      </c>
      <c r="J133" s="1" t="s">
        <v>48</v>
      </c>
      <c r="K133" s="1" t="s">
        <v>35</v>
      </c>
      <c r="M133" s="1" t="s">
        <v>2</v>
      </c>
      <c r="N133" s="1" t="s">
        <v>3</v>
      </c>
      <c r="O133" s="1" t="s">
        <v>0</v>
      </c>
      <c r="P133" s="1" t="s">
        <v>1</v>
      </c>
      <c r="Q133" s="1" t="s">
        <v>36</v>
      </c>
      <c r="R133" s="1" t="s">
        <v>34</v>
      </c>
      <c r="S133" s="1" t="s">
        <v>34</v>
      </c>
      <c r="T133" s="1" t="s">
        <v>36</v>
      </c>
      <c r="U133" s="1" t="s">
        <v>1213</v>
      </c>
      <c r="V133" s="1" t="s">
        <v>34</v>
      </c>
      <c r="W133" s="1" t="s">
        <v>605</v>
      </c>
      <c r="X133" s="1" t="s">
        <v>604</v>
      </c>
    </row>
    <row r="134" spans="1:24" ht="50.1" customHeight="1" x14ac:dyDescent="0.25">
      <c r="A134" s="1" t="s">
        <v>83</v>
      </c>
      <c r="B134" s="5" t="s">
        <v>1383</v>
      </c>
      <c r="C134" s="2" t="s">
        <v>85</v>
      </c>
      <c r="D134" s="2" t="s">
        <v>48</v>
      </c>
      <c r="E134" s="2" t="s">
        <v>48</v>
      </c>
      <c r="F134" s="3">
        <v>8016892618</v>
      </c>
      <c r="G134" s="4" t="s">
        <v>48</v>
      </c>
      <c r="H134" s="1" t="s">
        <v>34</v>
      </c>
      <c r="I134" s="1">
        <v>980368</v>
      </c>
      <c r="J134" s="1" t="s">
        <v>48</v>
      </c>
      <c r="K134" s="1" t="s">
        <v>35</v>
      </c>
      <c r="L134" s="1" t="s">
        <v>961</v>
      </c>
      <c r="M134" s="1" t="s">
        <v>2</v>
      </c>
      <c r="N134" s="1" t="s">
        <v>3</v>
      </c>
      <c r="O134" s="1" t="s">
        <v>0</v>
      </c>
      <c r="Q134" s="1" t="s">
        <v>36</v>
      </c>
      <c r="R134" s="1" t="s">
        <v>34</v>
      </c>
      <c r="S134" s="1" t="s">
        <v>34</v>
      </c>
      <c r="T134" s="1" t="s">
        <v>36</v>
      </c>
      <c r="U134" s="1" t="s">
        <v>1213</v>
      </c>
      <c r="V134" s="1" t="s">
        <v>1210</v>
      </c>
      <c r="W134" s="1" t="s">
        <v>1213</v>
      </c>
      <c r="X134" s="1" t="s">
        <v>86</v>
      </c>
    </row>
    <row r="135" spans="1:24" ht="50.1" customHeight="1" x14ac:dyDescent="0.25">
      <c r="A135" s="1" t="s">
        <v>357</v>
      </c>
      <c r="B135" s="5" t="s">
        <v>1384</v>
      </c>
      <c r="C135" s="2" t="s">
        <v>359</v>
      </c>
      <c r="D135" s="2" t="s">
        <v>48</v>
      </c>
      <c r="E135" s="2" t="s">
        <v>48</v>
      </c>
      <c r="F135" s="3">
        <v>7077912011</v>
      </c>
      <c r="G135" s="4" t="s">
        <v>48</v>
      </c>
      <c r="H135" s="1" t="s">
        <v>34</v>
      </c>
      <c r="I135" s="1">
        <v>1029183</v>
      </c>
      <c r="J135" s="1" t="s">
        <v>48</v>
      </c>
      <c r="K135" s="1" t="s">
        <v>35</v>
      </c>
      <c r="M135" s="1" t="s">
        <v>2</v>
      </c>
      <c r="O135" s="1" t="s">
        <v>0</v>
      </c>
      <c r="Q135" s="1" t="s">
        <v>34</v>
      </c>
      <c r="R135" s="1" t="s">
        <v>34</v>
      </c>
      <c r="S135" s="1" t="s">
        <v>34</v>
      </c>
      <c r="T135" s="1" t="s">
        <v>36</v>
      </c>
      <c r="U135" s="1" t="s">
        <v>1213</v>
      </c>
      <c r="V135" s="1" t="s">
        <v>1210</v>
      </c>
      <c r="W135" s="1" t="s">
        <v>1213</v>
      </c>
      <c r="X135" s="1" t="s">
        <v>1213</v>
      </c>
    </row>
    <row r="136" spans="1:24" ht="50.1" customHeight="1" x14ac:dyDescent="0.25">
      <c r="A136" s="1" t="s">
        <v>413</v>
      </c>
      <c r="B136" s="2" t="s">
        <v>1385</v>
      </c>
      <c r="C136" s="2" t="s">
        <v>414</v>
      </c>
      <c r="D136" s="2" t="s">
        <v>48</v>
      </c>
      <c r="E136" s="2" t="s">
        <v>48</v>
      </c>
      <c r="F136" s="3">
        <v>7077912011</v>
      </c>
      <c r="G136" s="4" t="s">
        <v>48</v>
      </c>
      <c r="H136" s="1" t="s">
        <v>34</v>
      </c>
      <c r="I136" s="1">
        <v>1029183</v>
      </c>
      <c r="J136" s="1" t="s">
        <v>48</v>
      </c>
      <c r="K136" s="1" t="s">
        <v>35</v>
      </c>
      <c r="O136" s="1" t="s">
        <v>0</v>
      </c>
      <c r="Q136" s="1" t="s">
        <v>34</v>
      </c>
      <c r="R136" s="1" t="s">
        <v>34</v>
      </c>
      <c r="S136" s="1" t="s">
        <v>34</v>
      </c>
      <c r="T136" s="1" t="s">
        <v>36</v>
      </c>
      <c r="U136" s="1" t="s">
        <v>1213</v>
      </c>
      <c r="V136" s="1" t="s">
        <v>34</v>
      </c>
      <c r="W136" s="1" t="s">
        <v>416</v>
      </c>
      <c r="X136" s="1" t="s">
        <v>415</v>
      </c>
    </row>
    <row r="137" spans="1:24" ht="50.1" customHeight="1" x14ac:dyDescent="0.25">
      <c r="A137" s="1" t="s">
        <v>250</v>
      </c>
      <c r="B137" s="5" t="s">
        <v>251</v>
      </c>
      <c r="C137" s="2" t="s">
        <v>252</v>
      </c>
      <c r="D137" s="2" t="s">
        <v>765</v>
      </c>
      <c r="E137" s="2" t="s">
        <v>48</v>
      </c>
      <c r="F137" s="3">
        <v>7074947902</v>
      </c>
      <c r="G137" s="3">
        <v>5105452033</v>
      </c>
      <c r="H137" s="1" t="s">
        <v>34</v>
      </c>
      <c r="I137" s="1">
        <v>967354</v>
      </c>
      <c r="J137" s="1" t="s">
        <v>48</v>
      </c>
      <c r="K137" s="1" t="s">
        <v>35</v>
      </c>
      <c r="L137" s="1" t="s">
        <v>961</v>
      </c>
      <c r="M137" s="1" t="s">
        <v>2</v>
      </c>
      <c r="N137" s="1" t="s">
        <v>3</v>
      </c>
      <c r="O137" s="1" t="s">
        <v>0</v>
      </c>
      <c r="P137" s="1" t="s">
        <v>1</v>
      </c>
      <c r="Q137" s="1" t="s">
        <v>34</v>
      </c>
      <c r="R137" s="1" t="s">
        <v>34</v>
      </c>
      <c r="S137" s="1" t="s">
        <v>34</v>
      </c>
      <c r="T137" s="1" t="s">
        <v>36</v>
      </c>
      <c r="U137" s="1" t="s">
        <v>1213</v>
      </c>
      <c r="V137" s="1" t="s">
        <v>1210</v>
      </c>
      <c r="W137" s="1" t="s">
        <v>1213</v>
      </c>
      <c r="X137" s="1" t="s">
        <v>1213</v>
      </c>
    </row>
    <row r="138" spans="1:24" ht="50.1" customHeight="1" x14ac:dyDescent="0.25">
      <c r="A138" s="1" t="s">
        <v>900</v>
      </c>
      <c r="B138" s="5" t="s">
        <v>899</v>
      </c>
      <c r="C138" s="2" t="s">
        <v>717</v>
      </c>
      <c r="D138" s="2" t="s">
        <v>48</v>
      </c>
      <c r="E138" s="2" t="s">
        <v>48</v>
      </c>
      <c r="F138" s="3">
        <v>3232173797</v>
      </c>
      <c r="G138" s="4" t="s">
        <v>48</v>
      </c>
      <c r="H138" s="1" t="s">
        <v>34</v>
      </c>
      <c r="I138" s="1">
        <v>975745</v>
      </c>
      <c r="J138" s="1" t="s">
        <v>48</v>
      </c>
      <c r="K138" s="1" t="s">
        <v>35</v>
      </c>
      <c r="L138" s="1" t="s">
        <v>961</v>
      </c>
      <c r="M138" s="1" t="s">
        <v>2</v>
      </c>
      <c r="N138" s="1" t="s">
        <v>3</v>
      </c>
      <c r="O138" s="1" t="s">
        <v>0</v>
      </c>
      <c r="Q138" s="1" t="s">
        <v>34</v>
      </c>
      <c r="R138" s="1" t="s">
        <v>36</v>
      </c>
      <c r="S138" s="1" t="s">
        <v>34</v>
      </c>
      <c r="T138" s="1" t="s">
        <v>34</v>
      </c>
      <c r="U138" s="1" t="s">
        <v>718</v>
      </c>
      <c r="V138" s="1" t="s">
        <v>1210</v>
      </c>
      <c r="W138" s="1" t="s">
        <v>1213</v>
      </c>
      <c r="X138" s="1" t="s">
        <v>719</v>
      </c>
    </row>
    <row r="139" spans="1:24" ht="50.1" customHeight="1" x14ac:dyDescent="0.25">
      <c r="A139" s="1" t="s">
        <v>136</v>
      </c>
      <c r="B139" s="5" t="s">
        <v>1386</v>
      </c>
      <c r="C139" s="2" t="s">
        <v>138</v>
      </c>
      <c r="D139" s="2" t="s">
        <v>48</v>
      </c>
      <c r="E139" s="2" t="s">
        <v>48</v>
      </c>
      <c r="F139" s="3">
        <v>9162935900</v>
      </c>
      <c r="G139" s="4" t="s">
        <v>48</v>
      </c>
      <c r="H139" s="1" t="s">
        <v>34</v>
      </c>
      <c r="I139" s="1">
        <v>1007601</v>
      </c>
      <c r="J139" s="1" t="s">
        <v>48</v>
      </c>
      <c r="K139" s="1" t="s">
        <v>35</v>
      </c>
      <c r="L139" s="1" t="s">
        <v>961</v>
      </c>
      <c r="M139" s="1" t="s">
        <v>2</v>
      </c>
      <c r="N139" s="1" t="s">
        <v>3</v>
      </c>
      <c r="O139" s="1" t="s">
        <v>0</v>
      </c>
      <c r="P139" s="1" t="s">
        <v>1</v>
      </c>
      <c r="Q139" s="1" t="s">
        <v>34</v>
      </c>
      <c r="R139" s="1" t="s">
        <v>34</v>
      </c>
      <c r="S139" s="1" t="s">
        <v>34</v>
      </c>
      <c r="T139" s="1" t="s">
        <v>36</v>
      </c>
      <c r="U139" s="1" t="s">
        <v>1213</v>
      </c>
      <c r="V139" s="1" t="s">
        <v>1210</v>
      </c>
      <c r="W139" s="1" t="s">
        <v>1213</v>
      </c>
      <c r="X139" s="1" t="s">
        <v>1088</v>
      </c>
    </row>
    <row r="140" spans="1:24" ht="50.1" customHeight="1" x14ac:dyDescent="0.25">
      <c r="A140" s="1" t="s">
        <v>535</v>
      </c>
      <c r="B140" s="5" t="s">
        <v>361</v>
      </c>
      <c r="C140" s="2" t="s">
        <v>536</v>
      </c>
      <c r="D140" s="2" t="s">
        <v>48</v>
      </c>
      <c r="E140" s="2" t="s">
        <v>48</v>
      </c>
      <c r="F140" s="3">
        <v>7605466000</v>
      </c>
      <c r="G140" s="4" t="s">
        <v>48</v>
      </c>
      <c r="H140" s="1" t="s">
        <v>34</v>
      </c>
      <c r="I140" s="1">
        <v>858088</v>
      </c>
      <c r="J140" s="1" t="s">
        <v>48</v>
      </c>
      <c r="L140" s="1" t="s">
        <v>44</v>
      </c>
      <c r="N140" s="1" t="s">
        <v>3</v>
      </c>
      <c r="Q140" s="1" t="s">
        <v>1210</v>
      </c>
      <c r="R140" s="1" t="s">
        <v>1210</v>
      </c>
      <c r="S140" s="1" t="s">
        <v>1210</v>
      </c>
      <c r="T140" s="1" t="s">
        <v>36</v>
      </c>
      <c r="U140" s="1" t="s">
        <v>1213</v>
      </c>
      <c r="V140" s="1" t="s">
        <v>1210</v>
      </c>
      <c r="W140" s="1" t="s">
        <v>1213</v>
      </c>
      <c r="X140" s="1" t="s">
        <v>1213</v>
      </c>
    </row>
    <row r="141" spans="1:24" ht="50.1" customHeight="1" x14ac:dyDescent="0.25">
      <c r="A141" s="1" t="s">
        <v>951</v>
      </c>
      <c r="B141" s="5" t="s">
        <v>836</v>
      </c>
      <c r="C141" s="2" t="s">
        <v>837</v>
      </c>
      <c r="D141" s="2" t="s">
        <v>48</v>
      </c>
      <c r="E141" s="2" t="s">
        <v>48</v>
      </c>
      <c r="F141" s="3">
        <v>8188350347</v>
      </c>
      <c r="G141" s="4" t="s">
        <v>48</v>
      </c>
      <c r="H141" s="1" t="s">
        <v>34</v>
      </c>
      <c r="I141" s="1">
        <v>1050670</v>
      </c>
      <c r="J141" s="1" t="s">
        <v>48</v>
      </c>
      <c r="K141" s="1" t="s">
        <v>35</v>
      </c>
      <c r="M141" s="1" t="s">
        <v>2</v>
      </c>
      <c r="N141" s="1" t="s">
        <v>3</v>
      </c>
      <c r="O141" s="1" t="s">
        <v>0</v>
      </c>
      <c r="P141" s="1" t="s">
        <v>1</v>
      </c>
      <c r="Q141" s="1" t="s">
        <v>34</v>
      </c>
      <c r="R141" s="1" t="s">
        <v>34</v>
      </c>
      <c r="S141" s="1" t="s">
        <v>34</v>
      </c>
      <c r="T141" s="1" t="s">
        <v>34</v>
      </c>
      <c r="U141" s="1" t="s">
        <v>1201</v>
      </c>
      <c r="V141" s="1" t="s">
        <v>34</v>
      </c>
      <c r="W141" s="1" t="s">
        <v>1162</v>
      </c>
      <c r="X141" s="1" t="s">
        <v>1213</v>
      </c>
    </row>
    <row r="142" spans="1:24" ht="50.1" customHeight="1" x14ac:dyDescent="0.25">
      <c r="A142" s="1" t="s">
        <v>145</v>
      </c>
      <c r="B142" s="5" t="s">
        <v>146</v>
      </c>
      <c r="C142" s="2" t="s">
        <v>479</v>
      </c>
      <c r="D142" s="2" t="s">
        <v>843</v>
      </c>
      <c r="E142" s="2" t="s">
        <v>147</v>
      </c>
      <c r="F142" s="3">
        <v>8554446329</v>
      </c>
      <c r="G142" s="3">
        <v>9516631189</v>
      </c>
      <c r="H142" s="1" t="s">
        <v>34</v>
      </c>
      <c r="I142" s="1">
        <v>812958</v>
      </c>
      <c r="J142" s="1" t="s">
        <v>48</v>
      </c>
      <c r="K142" s="1" t="s">
        <v>35</v>
      </c>
      <c r="L142" s="1" t="s">
        <v>44</v>
      </c>
      <c r="M142" s="1" t="s">
        <v>2</v>
      </c>
      <c r="N142" s="1" t="s">
        <v>3</v>
      </c>
      <c r="O142" s="1" t="s">
        <v>0</v>
      </c>
      <c r="P142" s="1" t="s">
        <v>1</v>
      </c>
      <c r="Q142" s="1" t="s">
        <v>34</v>
      </c>
      <c r="R142" s="1" t="s">
        <v>34</v>
      </c>
      <c r="S142" s="1" t="s">
        <v>34</v>
      </c>
      <c r="T142" s="1" t="s">
        <v>36</v>
      </c>
      <c r="U142" s="1" t="s">
        <v>1213</v>
      </c>
      <c r="V142" s="1" t="s">
        <v>34</v>
      </c>
      <c r="W142" s="1" t="s">
        <v>1163</v>
      </c>
      <c r="X142" s="1" t="s">
        <v>1089</v>
      </c>
    </row>
    <row r="143" spans="1:24" ht="50.1" customHeight="1" x14ac:dyDescent="0.25">
      <c r="A143" s="1" t="s">
        <v>948</v>
      </c>
      <c r="B143" s="5" t="s">
        <v>1387</v>
      </c>
      <c r="C143" s="2" t="s">
        <v>833</v>
      </c>
      <c r="D143" s="2" t="s">
        <v>48</v>
      </c>
      <c r="E143" s="2" t="s">
        <v>48</v>
      </c>
      <c r="F143" s="3">
        <v>5624315511</v>
      </c>
      <c r="G143" s="4" t="s">
        <v>48</v>
      </c>
      <c r="H143" s="1" t="s">
        <v>34</v>
      </c>
      <c r="I143" s="1">
        <v>933867</v>
      </c>
      <c r="J143" s="1" t="s">
        <v>48</v>
      </c>
      <c r="K143" s="1" t="s">
        <v>35</v>
      </c>
      <c r="M143" s="1" t="s">
        <v>2</v>
      </c>
      <c r="O143" s="1" t="s">
        <v>0</v>
      </c>
      <c r="Q143" s="1" t="s">
        <v>34</v>
      </c>
      <c r="R143" s="1" t="s">
        <v>34</v>
      </c>
      <c r="S143" s="1" t="s">
        <v>34</v>
      </c>
      <c r="T143" s="1" t="s">
        <v>34</v>
      </c>
      <c r="U143" s="1" t="s">
        <v>1164</v>
      </c>
      <c r="V143" s="1" t="s">
        <v>34</v>
      </c>
      <c r="W143" s="1" t="s">
        <v>1165</v>
      </c>
      <c r="X143" s="1" t="s">
        <v>834</v>
      </c>
    </row>
    <row r="144" spans="1:24" ht="50.1" customHeight="1" x14ac:dyDescent="0.25">
      <c r="A144" s="1" t="s">
        <v>880</v>
      </c>
      <c r="B144" s="5" t="s">
        <v>657</v>
      </c>
      <c r="C144" s="2" t="s">
        <v>658</v>
      </c>
      <c r="D144" s="2" t="s">
        <v>48</v>
      </c>
      <c r="E144" s="2" t="s">
        <v>48</v>
      </c>
      <c r="F144" s="3">
        <v>8446748787</v>
      </c>
      <c r="G144" s="4" t="s">
        <v>48</v>
      </c>
      <c r="H144" s="1" t="s">
        <v>34</v>
      </c>
      <c r="I144" s="1">
        <v>1038502</v>
      </c>
      <c r="J144" s="1" t="s">
        <v>48</v>
      </c>
      <c r="K144" s="1" t="s">
        <v>35</v>
      </c>
      <c r="M144" s="1" t="s">
        <v>2</v>
      </c>
      <c r="O144" s="1" t="s">
        <v>0</v>
      </c>
      <c r="Q144" s="1" t="s">
        <v>36</v>
      </c>
      <c r="R144" s="1" t="s">
        <v>36</v>
      </c>
      <c r="S144" s="1" t="s">
        <v>36</v>
      </c>
      <c r="T144" s="1" t="s">
        <v>34</v>
      </c>
      <c r="U144" s="1" t="s">
        <v>1166</v>
      </c>
      <c r="V144" s="1" t="s">
        <v>1210</v>
      </c>
      <c r="W144" s="1" t="s">
        <v>1213</v>
      </c>
      <c r="X144" s="1" t="s">
        <v>659</v>
      </c>
    </row>
    <row r="145" spans="1:24" ht="50.1" customHeight="1" x14ac:dyDescent="0.25">
      <c r="A145" s="1" t="s">
        <v>431</v>
      </c>
      <c r="B145" s="5" t="s">
        <v>432</v>
      </c>
      <c r="C145" s="2" t="s">
        <v>433</v>
      </c>
      <c r="D145" s="2" t="s">
        <v>48</v>
      </c>
      <c r="E145" s="2" t="s">
        <v>48</v>
      </c>
      <c r="F145" s="3">
        <v>6267936025</v>
      </c>
      <c r="G145" s="4" t="s">
        <v>48</v>
      </c>
      <c r="H145" s="1" t="s">
        <v>34</v>
      </c>
      <c r="I145" s="1">
        <v>919287</v>
      </c>
      <c r="J145" s="1" t="s">
        <v>48</v>
      </c>
      <c r="K145" s="1" t="s">
        <v>35</v>
      </c>
      <c r="M145" s="1" t="s">
        <v>2</v>
      </c>
      <c r="O145" s="1" t="s">
        <v>0</v>
      </c>
      <c r="Q145" s="1" t="s">
        <v>1210</v>
      </c>
      <c r="R145" s="1" t="s">
        <v>1210</v>
      </c>
      <c r="S145" s="1" t="s">
        <v>1210</v>
      </c>
      <c r="T145" s="1" t="s">
        <v>36</v>
      </c>
      <c r="U145" s="1" t="s">
        <v>1213</v>
      </c>
      <c r="V145" s="1" t="s">
        <v>1210</v>
      </c>
      <c r="W145" s="1" t="s">
        <v>1213</v>
      </c>
      <c r="X145" s="1" t="s">
        <v>1213</v>
      </c>
    </row>
    <row r="146" spans="1:24" ht="50.1" customHeight="1" x14ac:dyDescent="0.25">
      <c r="A146" s="1" t="s">
        <v>363</v>
      </c>
      <c r="B146" s="5" t="s">
        <v>1388</v>
      </c>
      <c r="C146" s="2" t="s">
        <v>1032</v>
      </c>
      <c r="D146" s="2" t="s">
        <v>48</v>
      </c>
      <c r="E146" s="2" t="s">
        <v>48</v>
      </c>
      <c r="F146" s="3">
        <v>5303427304</v>
      </c>
      <c r="G146" s="4" t="s">
        <v>48</v>
      </c>
      <c r="H146" s="1" t="s">
        <v>34</v>
      </c>
      <c r="I146" s="1">
        <v>813508</v>
      </c>
      <c r="J146" s="1" t="s">
        <v>48</v>
      </c>
      <c r="K146" s="1" t="s">
        <v>35</v>
      </c>
      <c r="L146" s="1" t="s">
        <v>961</v>
      </c>
      <c r="M146" s="1" t="s">
        <v>2</v>
      </c>
      <c r="N146" s="1" t="s">
        <v>3</v>
      </c>
      <c r="O146" s="1" t="s">
        <v>0</v>
      </c>
      <c r="Q146" s="1" t="s">
        <v>34</v>
      </c>
      <c r="R146" s="1" t="s">
        <v>34</v>
      </c>
      <c r="S146" s="1" t="s">
        <v>34</v>
      </c>
      <c r="T146" s="1" t="s">
        <v>34</v>
      </c>
      <c r="U146" s="1" t="s">
        <v>365</v>
      </c>
      <c r="V146" s="1" t="s">
        <v>34</v>
      </c>
      <c r="W146" s="1" t="s">
        <v>1033</v>
      </c>
      <c r="X146" s="1" t="s">
        <v>1167</v>
      </c>
    </row>
    <row r="147" spans="1:24" ht="50.1" customHeight="1" x14ac:dyDescent="0.25">
      <c r="A147" s="1" t="s">
        <v>468</v>
      </c>
      <c r="B147" s="5" t="s">
        <v>1389</v>
      </c>
      <c r="C147" s="2" t="s">
        <v>1035</v>
      </c>
      <c r="D147" s="2" t="s">
        <v>48</v>
      </c>
      <c r="E147" s="2" t="s">
        <v>48</v>
      </c>
      <c r="F147" s="3">
        <v>7075287652</v>
      </c>
      <c r="G147" s="4" t="s">
        <v>48</v>
      </c>
      <c r="H147" s="1" t="s">
        <v>34</v>
      </c>
      <c r="I147" s="1">
        <v>939082</v>
      </c>
      <c r="J147" s="1" t="s">
        <v>48</v>
      </c>
      <c r="K147" s="1" t="s">
        <v>35</v>
      </c>
      <c r="L147" s="1" t="s">
        <v>961</v>
      </c>
      <c r="M147" s="1" t="s">
        <v>2</v>
      </c>
      <c r="N147" s="1" t="s">
        <v>3</v>
      </c>
      <c r="O147" s="1" t="s">
        <v>0</v>
      </c>
      <c r="P147" s="1" t="s">
        <v>1</v>
      </c>
      <c r="Q147" s="1" t="s">
        <v>34</v>
      </c>
      <c r="R147" s="1" t="s">
        <v>34</v>
      </c>
      <c r="S147" s="1" t="s">
        <v>34</v>
      </c>
      <c r="T147" s="1" t="s">
        <v>34</v>
      </c>
      <c r="U147" s="1" t="s">
        <v>469</v>
      </c>
      <c r="V147" s="1" t="s">
        <v>34</v>
      </c>
      <c r="W147" s="1" t="s">
        <v>470</v>
      </c>
      <c r="X147" s="1" t="s">
        <v>1213</v>
      </c>
    </row>
    <row r="148" spans="1:24" ht="50.1" customHeight="1" x14ac:dyDescent="0.25">
      <c r="A148" s="1" t="s">
        <v>935</v>
      </c>
      <c r="B148" s="5" t="s">
        <v>797</v>
      </c>
      <c r="C148" s="2" t="s">
        <v>798</v>
      </c>
      <c r="D148" s="2" t="s">
        <v>48</v>
      </c>
      <c r="E148" s="2" t="s">
        <v>48</v>
      </c>
      <c r="F148" s="3">
        <v>8184442020</v>
      </c>
      <c r="G148" s="4" t="s">
        <v>48</v>
      </c>
      <c r="H148" s="1" t="s">
        <v>34</v>
      </c>
      <c r="I148" s="2">
        <v>1026168</v>
      </c>
      <c r="J148" s="1" t="s">
        <v>48</v>
      </c>
      <c r="K148" s="1" t="s">
        <v>35</v>
      </c>
      <c r="M148" s="1" t="s">
        <v>2</v>
      </c>
      <c r="O148" s="1" t="s">
        <v>0</v>
      </c>
      <c r="Q148" s="1" t="s">
        <v>34</v>
      </c>
      <c r="R148" s="1" t="s">
        <v>34</v>
      </c>
      <c r="S148" s="1" t="s">
        <v>34</v>
      </c>
      <c r="T148" s="1" t="s">
        <v>34</v>
      </c>
      <c r="U148" s="1" t="s">
        <v>799</v>
      </c>
      <c r="V148" s="1" t="s">
        <v>1210</v>
      </c>
      <c r="W148" s="1" t="s">
        <v>1213</v>
      </c>
      <c r="X148" s="1" t="s">
        <v>1213</v>
      </c>
    </row>
    <row r="149" spans="1:24" ht="50.1" customHeight="1" x14ac:dyDescent="0.25">
      <c r="A149" s="1" t="s">
        <v>1036</v>
      </c>
      <c r="B149" s="5" t="s">
        <v>1390</v>
      </c>
      <c r="C149" s="2" t="s">
        <v>547</v>
      </c>
      <c r="D149" s="2" t="s">
        <v>548</v>
      </c>
      <c r="E149" s="2" t="s">
        <v>48</v>
      </c>
      <c r="F149" s="3">
        <v>4156818861</v>
      </c>
      <c r="G149" s="4" t="s">
        <v>48</v>
      </c>
      <c r="H149" s="1" t="s">
        <v>34</v>
      </c>
      <c r="I149" s="1">
        <v>591549</v>
      </c>
      <c r="J149" s="1" t="s">
        <v>48</v>
      </c>
      <c r="K149" s="1" t="s">
        <v>35</v>
      </c>
      <c r="L149" s="1" t="s">
        <v>961</v>
      </c>
      <c r="M149" s="1" t="s">
        <v>2</v>
      </c>
      <c r="N149" s="1" t="s">
        <v>3</v>
      </c>
      <c r="O149" s="1" t="s">
        <v>0</v>
      </c>
      <c r="Q149" s="1" t="s">
        <v>34</v>
      </c>
      <c r="R149" s="1" t="s">
        <v>36</v>
      </c>
      <c r="S149" s="1" t="s">
        <v>34</v>
      </c>
      <c r="T149" s="1" t="s">
        <v>36</v>
      </c>
      <c r="U149" s="1" t="s">
        <v>1213</v>
      </c>
      <c r="V149" s="1" t="s">
        <v>1210</v>
      </c>
      <c r="W149" s="1" t="s">
        <v>1213</v>
      </c>
      <c r="X149" s="1" t="s">
        <v>1213</v>
      </c>
    </row>
    <row r="150" spans="1:24" ht="50.1" customHeight="1" x14ac:dyDescent="0.25">
      <c r="A150" s="1" t="s">
        <v>264</v>
      </c>
      <c r="B150" s="5" t="s">
        <v>1391</v>
      </c>
      <c r="C150" s="2" t="s">
        <v>266</v>
      </c>
      <c r="D150" s="2" t="s">
        <v>48</v>
      </c>
      <c r="E150" s="2" t="s">
        <v>48</v>
      </c>
      <c r="F150" s="3">
        <v>6265003870</v>
      </c>
      <c r="G150" s="4" t="s">
        <v>48</v>
      </c>
      <c r="H150" s="1" t="s">
        <v>34</v>
      </c>
      <c r="I150" s="1">
        <v>985340</v>
      </c>
      <c r="J150" s="1" t="s">
        <v>48</v>
      </c>
      <c r="K150" s="1" t="s">
        <v>35</v>
      </c>
      <c r="M150" s="1" t="s">
        <v>2</v>
      </c>
      <c r="N150" s="1" t="s">
        <v>3</v>
      </c>
      <c r="O150" s="1" t="s">
        <v>0</v>
      </c>
      <c r="Q150" s="1" t="s">
        <v>34</v>
      </c>
      <c r="R150" s="1" t="s">
        <v>34</v>
      </c>
      <c r="S150" s="1" t="s">
        <v>34</v>
      </c>
      <c r="T150" s="1" t="s">
        <v>34</v>
      </c>
      <c r="U150" s="1" t="s">
        <v>1168</v>
      </c>
      <c r="V150" s="1" t="s">
        <v>34</v>
      </c>
      <c r="W150" s="1" t="s">
        <v>1038</v>
      </c>
      <c r="X150" s="1" t="s">
        <v>1037</v>
      </c>
    </row>
    <row r="151" spans="1:24" ht="50.1" customHeight="1" x14ac:dyDescent="0.25">
      <c r="A151" s="1" t="s">
        <v>286</v>
      </c>
      <c r="B151" s="5" t="s">
        <v>287</v>
      </c>
      <c r="C151" s="2" t="s">
        <v>288</v>
      </c>
      <c r="D151" s="2" t="s">
        <v>48</v>
      </c>
      <c r="E151" s="2" t="s">
        <v>48</v>
      </c>
      <c r="F151" s="3">
        <v>4152998989</v>
      </c>
      <c r="G151" s="4" t="s">
        <v>48</v>
      </c>
      <c r="H151" s="1" t="s">
        <v>34</v>
      </c>
      <c r="I151" s="1">
        <v>995228</v>
      </c>
      <c r="J151" s="1" t="s">
        <v>48</v>
      </c>
      <c r="K151" s="1" t="s">
        <v>35</v>
      </c>
      <c r="L151" s="1" t="s">
        <v>961</v>
      </c>
      <c r="M151" s="1" t="s">
        <v>2</v>
      </c>
      <c r="N151" s="1" t="s">
        <v>3</v>
      </c>
      <c r="O151" s="1" t="s">
        <v>0</v>
      </c>
      <c r="P151" s="1" t="s">
        <v>1</v>
      </c>
      <c r="Q151" s="1" t="s">
        <v>34</v>
      </c>
      <c r="R151" s="1" t="s">
        <v>34</v>
      </c>
      <c r="S151" s="1" t="s">
        <v>34</v>
      </c>
      <c r="T151" s="1" t="s">
        <v>34</v>
      </c>
      <c r="U151" s="1" t="s">
        <v>1169</v>
      </c>
      <c r="V151" s="1" t="s">
        <v>34</v>
      </c>
      <c r="W151" s="1" t="s">
        <v>1039</v>
      </c>
      <c r="X151" s="1" t="s">
        <v>289</v>
      </c>
    </row>
    <row r="152" spans="1:24" ht="50.1" customHeight="1" x14ac:dyDescent="0.25">
      <c r="A152" s="1" t="s">
        <v>983</v>
      </c>
      <c r="B152" s="5" t="s">
        <v>511</v>
      </c>
      <c r="C152" s="2" t="s">
        <v>512</v>
      </c>
      <c r="D152" s="2" t="s">
        <v>48</v>
      </c>
      <c r="E152" s="2" t="s">
        <v>48</v>
      </c>
      <c r="F152" s="3">
        <v>2098256660</v>
      </c>
      <c r="G152" s="4" t="s">
        <v>48</v>
      </c>
      <c r="H152" s="1" t="s">
        <v>34</v>
      </c>
      <c r="I152" s="1">
        <v>750852</v>
      </c>
      <c r="J152" s="1" t="s">
        <v>48</v>
      </c>
      <c r="K152" s="1" t="s">
        <v>35</v>
      </c>
      <c r="L152" s="1" t="s">
        <v>961</v>
      </c>
      <c r="M152" s="1" t="s">
        <v>2</v>
      </c>
      <c r="O152" s="1" t="s">
        <v>0</v>
      </c>
      <c r="Q152" s="1" t="s">
        <v>34</v>
      </c>
      <c r="R152" s="1" t="s">
        <v>34</v>
      </c>
      <c r="S152" s="1" t="s">
        <v>34</v>
      </c>
      <c r="T152" s="1" t="s">
        <v>36</v>
      </c>
      <c r="U152" s="1" t="s">
        <v>1213</v>
      </c>
      <c r="V152" s="1" t="s">
        <v>1210</v>
      </c>
      <c r="W152" s="1" t="s">
        <v>1213</v>
      </c>
      <c r="X152" s="1" t="s">
        <v>1213</v>
      </c>
    </row>
    <row r="153" spans="1:24" ht="50.1" customHeight="1" x14ac:dyDescent="0.25">
      <c r="A153" s="1" t="s">
        <v>903</v>
      </c>
      <c r="B153" s="5" t="s">
        <v>724</v>
      </c>
      <c r="C153" s="2" t="s">
        <v>725</v>
      </c>
      <c r="D153" s="2" t="s">
        <v>48</v>
      </c>
      <c r="E153" s="2" t="s">
        <v>48</v>
      </c>
      <c r="F153" s="3">
        <v>9513081800</v>
      </c>
      <c r="G153" s="4" t="s">
        <v>48</v>
      </c>
      <c r="H153" s="1" t="s">
        <v>34</v>
      </c>
      <c r="I153" s="1">
        <v>896158</v>
      </c>
      <c r="J153" s="1" t="s">
        <v>48</v>
      </c>
      <c r="L153" s="1" t="s">
        <v>44</v>
      </c>
      <c r="N153" s="1" t="s">
        <v>3</v>
      </c>
      <c r="Q153" s="1" t="s">
        <v>34</v>
      </c>
      <c r="R153" s="1" t="s">
        <v>34</v>
      </c>
      <c r="S153" s="1" t="s">
        <v>34</v>
      </c>
      <c r="T153" s="1" t="s">
        <v>34</v>
      </c>
      <c r="U153" s="1" t="s">
        <v>726</v>
      </c>
      <c r="V153" s="1" t="s">
        <v>34</v>
      </c>
      <c r="W153" s="1" t="s">
        <v>1040</v>
      </c>
      <c r="X153" s="1" t="s">
        <v>727</v>
      </c>
    </row>
    <row r="154" spans="1:24" ht="50.1" customHeight="1" x14ac:dyDescent="0.25">
      <c r="A154" s="1" t="s">
        <v>559</v>
      </c>
      <c r="B154" s="5" t="s">
        <v>1392</v>
      </c>
      <c r="C154" s="2" t="s">
        <v>561</v>
      </c>
      <c r="D154" s="2" t="s">
        <v>48</v>
      </c>
      <c r="E154" s="2" t="s">
        <v>48</v>
      </c>
      <c r="F154" s="3">
        <v>8003109080</v>
      </c>
      <c r="G154" s="4" t="s">
        <v>48</v>
      </c>
      <c r="H154" s="1" t="s">
        <v>34</v>
      </c>
      <c r="I154" s="1">
        <v>888597</v>
      </c>
      <c r="J154" s="1" t="s">
        <v>48</v>
      </c>
      <c r="K154" s="1" t="s">
        <v>35</v>
      </c>
      <c r="O154" s="1" t="s">
        <v>0</v>
      </c>
      <c r="Q154" s="1" t="s">
        <v>34</v>
      </c>
      <c r="R154" s="1" t="s">
        <v>34</v>
      </c>
      <c r="S154" s="1" t="s">
        <v>34</v>
      </c>
      <c r="T154" s="1" t="s">
        <v>34</v>
      </c>
      <c r="U154" s="1" t="s">
        <v>1213</v>
      </c>
      <c r="V154" s="1" t="s">
        <v>34</v>
      </c>
      <c r="W154" s="1" t="s">
        <v>1042</v>
      </c>
      <c r="X154" s="1" t="s">
        <v>1041</v>
      </c>
    </row>
    <row r="155" spans="1:24" ht="50.1" customHeight="1" x14ac:dyDescent="0.25">
      <c r="A155" s="1" t="s">
        <v>156</v>
      </c>
      <c r="B155" s="5" t="s">
        <v>1393</v>
      </c>
      <c r="C155" s="2" t="s">
        <v>158</v>
      </c>
      <c r="D155" s="2" t="s">
        <v>48</v>
      </c>
      <c r="E155" s="2" t="s">
        <v>48</v>
      </c>
      <c r="F155" s="3">
        <v>7605040388</v>
      </c>
      <c r="G155" s="4" t="s">
        <v>48</v>
      </c>
      <c r="H155" s="1" t="s">
        <v>34</v>
      </c>
      <c r="I155" s="1">
        <v>945152</v>
      </c>
      <c r="J155" s="1" t="s">
        <v>48</v>
      </c>
      <c r="K155" s="1" t="s">
        <v>35</v>
      </c>
      <c r="M155" s="1" t="s">
        <v>2</v>
      </c>
      <c r="O155" s="1" t="s">
        <v>0</v>
      </c>
      <c r="Q155" s="1" t="s">
        <v>34</v>
      </c>
      <c r="R155" s="1" t="s">
        <v>34</v>
      </c>
      <c r="S155" s="1" t="s">
        <v>34</v>
      </c>
      <c r="T155" s="1" t="s">
        <v>36</v>
      </c>
      <c r="U155" s="1" t="s">
        <v>1213</v>
      </c>
      <c r="V155" s="1" t="s">
        <v>34</v>
      </c>
      <c r="W155" s="1" t="s">
        <v>159</v>
      </c>
      <c r="X155" s="1" t="s">
        <v>1112</v>
      </c>
    </row>
    <row r="156" spans="1:24" ht="50.1" customHeight="1" x14ac:dyDescent="0.25">
      <c r="A156" s="1" t="s">
        <v>910</v>
      </c>
      <c r="B156" s="5" t="s">
        <v>746</v>
      </c>
      <c r="C156" s="2" t="s">
        <v>747</v>
      </c>
      <c r="D156" s="2" t="s">
        <v>48</v>
      </c>
      <c r="E156" s="2" t="s">
        <v>48</v>
      </c>
      <c r="F156" s="3">
        <v>8315562715</v>
      </c>
      <c r="G156" s="4" t="s">
        <v>48</v>
      </c>
      <c r="H156" s="1" t="s">
        <v>34</v>
      </c>
      <c r="I156" s="1">
        <v>988549</v>
      </c>
      <c r="J156" s="1" t="s">
        <v>48</v>
      </c>
      <c r="K156" s="1" t="s">
        <v>35</v>
      </c>
      <c r="L156" s="1" t="s">
        <v>961</v>
      </c>
      <c r="M156" s="1" t="s">
        <v>2</v>
      </c>
      <c r="O156" s="1" t="s">
        <v>0</v>
      </c>
      <c r="Q156" s="1" t="s">
        <v>34</v>
      </c>
      <c r="R156" s="1" t="s">
        <v>36</v>
      </c>
      <c r="S156" s="1" t="s">
        <v>36</v>
      </c>
      <c r="T156" s="1" t="s">
        <v>36</v>
      </c>
      <c r="U156" s="1" t="s">
        <v>1213</v>
      </c>
      <c r="V156" s="1" t="s">
        <v>1210</v>
      </c>
      <c r="W156" s="1" t="s">
        <v>1213</v>
      </c>
      <c r="X156" s="1" t="s">
        <v>1213</v>
      </c>
    </row>
    <row r="157" spans="1:24" ht="50.1" customHeight="1" x14ac:dyDescent="0.25">
      <c r="A157" s="1" t="s">
        <v>921</v>
      </c>
      <c r="B157" s="5" t="s">
        <v>766</v>
      </c>
      <c r="C157" s="2" t="s">
        <v>1043</v>
      </c>
      <c r="D157" s="2" t="s">
        <v>48</v>
      </c>
      <c r="E157" s="2" t="s">
        <v>48</v>
      </c>
      <c r="F157" s="3">
        <v>8053513371</v>
      </c>
      <c r="G157" s="4" t="s">
        <v>48</v>
      </c>
      <c r="H157" s="1" t="s">
        <v>34</v>
      </c>
      <c r="I157" s="2">
        <v>1003044</v>
      </c>
      <c r="J157" s="1" t="s">
        <v>48</v>
      </c>
      <c r="K157" s="1" t="s">
        <v>35</v>
      </c>
      <c r="L157" s="1" t="s">
        <v>961</v>
      </c>
      <c r="M157" s="1" t="s">
        <v>2</v>
      </c>
      <c r="N157" s="1" t="s">
        <v>3</v>
      </c>
      <c r="O157" s="1" t="s">
        <v>0</v>
      </c>
      <c r="P157" s="1" t="s">
        <v>1</v>
      </c>
      <c r="Q157" s="1" t="s">
        <v>34</v>
      </c>
      <c r="R157" s="1" t="s">
        <v>36</v>
      </c>
      <c r="S157" s="1" t="s">
        <v>34</v>
      </c>
      <c r="T157" s="1" t="s">
        <v>34</v>
      </c>
      <c r="U157" s="1" t="s">
        <v>1170</v>
      </c>
      <c r="V157" s="1" t="s">
        <v>1210</v>
      </c>
      <c r="W157" s="1" t="s">
        <v>1213</v>
      </c>
      <c r="X157" s="1" t="s">
        <v>174</v>
      </c>
    </row>
    <row r="158" spans="1:24" ht="50.1" customHeight="1" x14ac:dyDescent="0.25">
      <c r="A158" s="1" t="s">
        <v>940</v>
      </c>
      <c r="B158" s="5" t="s">
        <v>806</v>
      </c>
      <c r="C158" s="2" t="s">
        <v>807</v>
      </c>
      <c r="D158" s="2" t="s">
        <v>48</v>
      </c>
      <c r="E158" s="2" t="s">
        <v>48</v>
      </c>
      <c r="F158" s="3">
        <v>8186707769</v>
      </c>
      <c r="G158" s="4" t="s">
        <v>48</v>
      </c>
      <c r="H158" s="1" t="s">
        <v>34</v>
      </c>
      <c r="I158" s="1">
        <v>986882</v>
      </c>
      <c r="J158" s="1" t="s">
        <v>48</v>
      </c>
      <c r="K158" s="1" t="s">
        <v>35</v>
      </c>
      <c r="L158" s="1" t="s">
        <v>961</v>
      </c>
      <c r="M158" s="1" t="s">
        <v>2</v>
      </c>
      <c r="N158" s="1" t="s">
        <v>3</v>
      </c>
      <c r="O158" s="1" t="s">
        <v>0</v>
      </c>
      <c r="Q158" s="1" t="s">
        <v>34</v>
      </c>
      <c r="R158" s="1" t="s">
        <v>34</v>
      </c>
      <c r="S158" s="1" t="s">
        <v>34</v>
      </c>
      <c r="T158" s="1" t="s">
        <v>36</v>
      </c>
      <c r="U158" s="1" t="s">
        <v>1213</v>
      </c>
      <c r="V158" s="1" t="s">
        <v>1210</v>
      </c>
      <c r="W158" s="1" t="s">
        <v>1213</v>
      </c>
      <c r="X158" s="1" t="s">
        <v>1213</v>
      </c>
    </row>
    <row r="159" spans="1:24" ht="50.1" customHeight="1" x14ac:dyDescent="0.25">
      <c r="A159" s="1" t="s">
        <v>484</v>
      </c>
      <c r="B159" s="5" t="s">
        <v>381</v>
      </c>
      <c r="C159" s="2" t="s">
        <v>382</v>
      </c>
      <c r="D159" s="2" t="s">
        <v>48</v>
      </c>
      <c r="E159" s="2" t="s">
        <v>48</v>
      </c>
      <c r="F159" s="3">
        <v>8884447911</v>
      </c>
      <c r="G159" s="4" t="s">
        <v>48</v>
      </c>
      <c r="H159" s="1" t="s">
        <v>34</v>
      </c>
      <c r="I159" s="1">
        <v>978353</v>
      </c>
      <c r="J159" s="1" t="s">
        <v>48</v>
      </c>
      <c r="K159" s="1" t="s">
        <v>35</v>
      </c>
      <c r="L159" s="1" t="s">
        <v>961</v>
      </c>
      <c r="M159" s="1" t="s">
        <v>2</v>
      </c>
      <c r="N159" s="1" t="s">
        <v>3</v>
      </c>
      <c r="O159" s="1" t="s">
        <v>0</v>
      </c>
      <c r="P159" s="1" t="s">
        <v>1</v>
      </c>
      <c r="Q159" s="1" t="s">
        <v>34</v>
      </c>
      <c r="R159" s="1" t="s">
        <v>34</v>
      </c>
      <c r="S159" s="1" t="s">
        <v>34</v>
      </c>
      <c r="T159" s="1" t="s">
        <v>34</v>
      </c>
      <c r="U159" s="1" t="s">
        <v>1171</v>
      </c>
      <c r="V159" s="1" t="s">
        <v>34</v>
      </c>
      <c r="W159" s="1" t="s">
        <v>1173</v>
      </c>
      <c r="X159" s="1" t="s">
        <v>1172</v>
      </c>
    </row>
    <row r="160" spans="1:24" ht="50.1" customHeight="1" x14ac:dyDescent="0.25">
      <c r="A160" s="1" t="s">
        <v>909</v>
      </c>
      <c r="B160" s="5" t="s">
        <v>1395</v>
      </c>
      <c r="C160" s="2" t="s">
        <v>745</v>
      </c>
      <c r="D160" s="2" t="s">
        <v>48</v>
      </c>
      <c r="E160" s="2" t="s">
        <v>48</v>
      </c>
      <c r="F160" s="3">
        <v>7074336556</v>
      </c>
      <c r="G160" s="4" t="s">
        <v>48</v>
      </c>
      <c r="H160" s="1" t="s">
        <v>34</v>
      </c>
      <c r="I160" s="1">
        <v>808734</v>
      </c>
      <c r="J160" s="1" t="s">
        <v>48</v>
      </c>
      <c r="K160" s="1" t="s">
        <v>35</v>
      </c>
      <c r="L160" s="1" t="s">
        <v>961</v>
      </c>
      <c r="M160" s="1" t="s">
        <v>2</v>
      </c>
      <c r="O160" s="1" t="s">
        <v>0</v>
      </c>
      <c r="Q160" s="1" t="s">
        <v>34</v>
      </c>
      <c r="R160" s="1" t="s">
        <v>34</v>
      </c>
      <c r="S160" s="1" t="s">
        <v>36</v>
      </c>
      <c r="T160" s="1" t="s">
        <v>36</v>
      </c>
      <c r="U160" s="1" t="s">
        <v>1213</v>
      </c>
      <c r="V160" s="1" t="s">
        <v>1210</v>
      </c>
      <c r="W160" s="1" t="s">
        <v>1213</v>
      </c>
      <c r="X160" s="1" t="s">
        <v>1174</v>
      </c>
    </row>
    <row r="161" spans="1:24" ht="50.1" customHeight="1" x14ac:dyDescent="0.25">
      <c r="A161" s="1" t="s">
        <v>439</v>
      </c>
      <c r="B161" s="5" t="s">
        <v>1394</v>
      </c>
      <c r="C161" s="2" t="s">
        <v>441</v>
      </c>
      <c r="D161" s="2" t="s">
        <v>442</v>
      </c>
      <c r="E161" s="2" t="s">
        <v>48</v>
      </c>
      <c r="F161" s="3">
        <v>5592750222</v>
      </c>
      <c r="G161" s="4" t="s">
        <v>48</v>
      </c>
      <c r="H161" s="1" t="s">
        <v>34</v>
      </c>
      <c r="I161" s="1">
        <v>716208</v>
      </c>
      <c r="J161" s="1" t="s">
        <v>48</v>
      </c>
      <c r="K161" s="1" t="s">
        <v>35</v>
      </c>
      <c r="M161" s="1" t="s">
        <v>2</v>
      </c>
      <c r="O161" s="1" t="s">
        <v>0</v>
      </c>
      <c r="P161" s="1" t="s">
        <v>1</v>
      </c>
      <c r="Q161" s="1" t="s">
        <v>34</v>
      </c>
      <c r="R161" s="1" t="s">
        <v>34</v>
      </c>
      <c r="S161" s="1" t="s">
        <v>34</v>
      </c>
      <c r="T161" s="1" t="s">
        <v>34</v>
      </c>
      <c r="U161" s="1" t="s">
        <v>443</v>
      </c>
      <c r="V161" s="1" t="s">
        <v>1210</v>
      </c>
      <c r="W161" s="1" t="s">
        <v>1213</v>
      </c>
      <c r="X161" s="1" t="s">
        <v>1044</v>
      </c>
    </row>
    <row r="162" spans="1:24" ht="50.1" customHeight="1" x14ac:dyDescent="0.25">
      <c r="A162" s="1" t="s">
        <v>541</v>
      </c>
      <c r="B162" s="5" t="s">
        <v>542</v>
      </c>
      <c r="C162" s="2" t="s">
        <v>543</v>
      </c>
      <c r="D162" s="2" t="s">
        <v>48</v>
      </c>
      <c r="E162" s="2" t="s">
        <v>48</v>
      </c>
      <c r="F162" s="3">
        <v>8054456576</v>
      </c>
      <c r="G162" s="4" t="s">
        <v>48</v>
      </c>
      <c r="H162" s="1" t="s">
        <v>34</v>
      </c>
      <c r="I162" s="1">
        <v>956241</v>
      </c>
      <c r="J162" s="1" t="s">
        <v>48</v>
      </c>
      <c r="K162" s="1" t="s">
        <v>35</v>
      </c>
      <c r="L162" s="1" t="s">
        <v>961</v>
      </c>
      <c r="N162" s="1" t="s">
        <v>3</v>
      </c>
      <c r="O162" s="1" t="s">
        <v>0</v>
      </c>
      <c r="Q162" s="1" t="s">
        <v>34</v>
      </c>
      <c r="R162" s="1" t="s">
        <v>34</v>
      </c>
      <c r="S162" s="1" t="s">
        <v>34</v>
      </c>
      <c r="T162" s="1" t="s">
        <v>36</v>
      </c>
      <c r="U162" s="1" t="s">
        <v>1213</v>
      </c>
      <c r="V162" s="1" t="s">
        <v>1210</v>
      </c>
      <c r="W162" s="1" t="s">
        <v>1213</v>
      </c>
      <c r="X162" s="1" t="s">
        <v>1213</v>
      </c>
    </row>
    <row r="163" spans="1:24" ht="50.1" customHeight="1" x14ac:dyDescent="0.25">
      <c r="A163" s="1" t="s">
        <v>423</v>
      </c>
      <c r="B163" s="5" t="s">
        <v>424</v>
      </c>
      <c r="C163" s="2" t="s">
        <v>425</v>
      </c>
      <c r="D163" s="2" t="s">
        <v>48</v>
      </c>
      <c r="E163" s="2" t="s">
        <v>48</v>
      </c>
      <c r="F163" s="3">
        <v>7074858359</v>
      </c>
      <c r="G163" s="4" t="s">
        <v>48</v>
      </c>
      <c r="H163" s="1" t="s">
        <v>34</v>
      </c>
      <c r="I163" s="1">
        <v>1007610</v>
      </c>
      <c r="J163" s="1" t="s">
        <v>48</v>
      </c>
      <c r="L163" s="1" t="s">
        <v>44</v>
      </c>
      <c r="N163" s="1" t="s">
        <v>3</v>
      </c>
      <c r="Q163" s="1" t="s">
        <v>36</v>
      </c>
      <c r="R163" s="1" t="s">
        <v>36</v>
      </c>
      <c r="S163" s="1" t="s">
        <v>36</v>
      </c>
      <c r="T163" s="1" t="s">
        <v>36</v>
      </c>
      <c r="U163" s="1" t="s">
        <v>1213</v>
      </c>
      <c r="V163" s="1" t="s">
        <v>34</v>
      </c>
      <c r="W163" s="1" t="s">
        <v>426</v>
      </c>
      <c r="X163" s="1" t="s">
        <v>1213</v>
      </c>
    </row>
    <row r="164" spans="1:24" ht="50.1" customHeight="1" x14ac:dyDescent="0.25">
      <c r="A164" s="1" t="s">
        <v>354</v>
      </c>
      <c r="B164" s="5" t="s">
        <v>355</v>
      </c>
      <c r="C164" s="2" t="s">
        <v>356</v>
      </c>
      <c r="D164" s="2" t="s">
        <v>48</v>
      </c>
      <c r="E164" s="2" t="s">
        <v>48</v>
      </c>
      <c r="F164" s="3">
        <v>8055862546</v>
      </c>
      <c r="G164" s="4" t="s">
        <v>48</v>
      </c>
      <c r="H164" s="1" t="s">
        <v>34</v>
      </c>
      <c r="I164" s="1">
        <v>990001</v>
      </c>
      <c r="J164" s="1" t="s">
        <v>48</v>
      </c>
      <c r="K164" s="1" t="s">
        <v>35</v>
      </c>
      <c r="M164" s="1" t="s">
        <v>2</v>
      </c>
      <c r="N164" s="1" t="s">
        <v>3</v>
      </c>
      <c r="O164" s="1" t="s">
        <v>0</v>
      </c>
      <c r="P164" s="1" t="s">
        <v>1</v>
      </c>
      <c r="Q164" s="1" t="s">
        <v>34</v>
      </c>
      <c r="R164" s="1" t="s">
        <v>34</v>
      </c>
      <c r="S164" s="1" t="s">
        <v>34</v>
      </c>
      <c r="T164" s="1" t="s">
        <v>36</v>
      </c>
      <c r="U164" s="1" t="s">
        <v>1213</v>
      </c>
      <c r="V164" s="1" t="s">
        <v>1210</v>
      </c>
      <c r="W164" s="1" t="s">
        <v>1213</v>
      </c>
      <c r="X164" s="1" t="s">
        <v>1213</v>
      </c>
    </row>
    <row r="165" spans="1:24" ht="50.1" customHeight="1" x14ac:dyDescent="0.25">
      <c r="A165" s="1" t="s">
        <v>278</v>
      </c>
      <c r="B165" s="5" t="s">
        <v>400</v>
      </c>
      <c r="C165" s="2" t="s">
        <v>279</v>
      </c>
      <c r="D165" s="2" t="s">
        <v>48</v>
      </c>
      <c r="E165" s="2" t="s">
        <v>48</v>
      </c>
      <c r="F165" s="3">
        <v>7602893670</v>
      </c>
      <c r="G165" s="4" t="s">
        <v>48</v>
      </c>
      <c r="H165" s="1" t="s">
        <v>34</v>
      </c>
      <c r="I165" s="1">
        <v>910836</v>
      </c>
      <c r="J165" s="1" t="s">
        <v>48</v>
      </c>
      <c r="K165" s="1" t="s">
        <v>35</v>
      </c>
      <c r="L165" s="1" t="s">
        <v>961</v>
      </c>
      <c r="M165" s="1" t="s">
        <v>2</v>
      </c>
      <c r="N165" s="1" t="s">
        <v>3</v>
      </c>
      <c r="O165" s="1" t="s">
        <v>0</v>
      </c>
      <c r="Q165" s="1" t="s">
        <v>34</v>
      </c>
      <c r="R165" s="1" t="s">
        <v>36</v>
      </c>
      <c r="S165" s="1" t="s">
        <v>34</v>
      </c>
      <c r="T165" s="1" t="s">
        <v>36</v>
      </c>
      <c r="U165" s="1" t="s">
        <v>1213</v>
      </c>
      <c r="V165" s="1" t="s">
        <v>1210</v>
      </c>
      <c r="W165" s="1" t="s">
        <v>1213</v>
      </c>
      <c r="X165" s="1" t="s">
        <v>1213</v>
      </c>
    </row>
    <row r="166" spans="1:24" ht="50.1" customHeight="1" x14ac:dyDescent="0.25">
      <c r="A166" s="1" t="s">
        <v>341</v>
      </c>
      <c r="B166" s="5" t="s">
        <v>342</v>
      </c>
      <c r="C166" s="2" t="s">
        <v>343</v>
      </c>
      <c r="D166" s="2" t="s">
        <v>48</v>
      </c>
      <c r="E166" s="2" t="s">
        <v>48</v>
      </c>
      <c r="F166" s="3">
        <v>9492817171</v>
      </c>
      <c r="G166" s="4" t="s">
        <v>48</v>
      </c>
      <c r="H166" s="1" t="s">
        <v>34</v>
      </c>
      <c r="I166" s="1">
        <v>1038433</v>
      </c>
      <c r="J166" s="1" t="s">
        <v>48</v>
      </c>
      <c r="K166" s="1" t="s">
        <v>35</v>
      </c>
      <c r="L166" s="1" t="s">
        <v>961</v>
      </c>
      <c r="M166" s="1" t="s">
        <v>2</v>
      </c>
      <c r="N166" s="1" t="s">
        <v>3</v>
      </c>
      <c r="O166" s="1" t="s">
        <v>0</v>
      </c>
      <c r="Q166" s="1" t="s">
        <v>1210</v>
      </c>
      <c r="R166" s="1" t="s">
        <v>1210</v>
      </c>
      <c r="S166" s="1" t="s">
        <v>1210</v>
      </c>
      <c r="T166" s="1" t="s">
        <v>34</v>
      </c>
      <c r="U166" s="1" t="s">
        <v>1213</v>
      </c>
      <c r="V166" s="1" t="s">
        <v>1210</v>
      </c>
      <c r="W166" s="1" t="s">
        <v>1213</v>
      </c>
      <c r="X166" s="1" t="s">
        <v>1213</v>
      </c>
    </row>
    <row r="167" spans="1:24" ht="50.1" customHeight="1" x14ac:dyDescent="0.25">
      <c r="A167" s="1" t="s">
        <v>854</v>
      </c>
      <c r="B167" s="5" t="s">
        <v>588</v>
      </c>
      <c r="C167" s="2" t="s">
        <v>589</v>
      </c>
      <c r="D167" s="2" t="s">
        <v>48</v>
      </c>
      <c r="E167" s="2" t="s">
        <v>48</v>
      </c>
      <c r="F167" s="3">
        <v>9167124481</v>
      </c>
      <c r="G167" s="3">
        <v>5594477000</v>
      </c>
      <c r="H167" s="1" t="s">
        <v>34</v>
      </c>
      <c r="I167" s="1">
        <v>608302</v>
      </c>
      <c r="J167" s="1" t="s">
        <v>48</v>
      </c>
      <c r="K167" s="1" t="s">
        <v>35</v>
      </c>
      <c r="L167" s="1" t="s">
        <v>44</v>
      </c>
      <c r="M167" s="1" t="s">
        <v>2</v>
      </c>
      <c r="N167" s="1" t="s">
        <v>3</v>
      </c>
      <c r="O167" s="1" t="s">
        <v>0</v>
      </c>
      <c r="P167" s="1" t="s">
        <v>1</v>
      </c>
      <c r="Q167" s="1" t="s">
        <v>34</v>
      </c>
      <c r="R167" s="1" t="s">
        <v>34</v>
      </c>
      <c r="S167" s="1" t="s">
        <v>34</v>
      </c>
      <c r="T167" s="1" t="s">
        <v>36</v>
      </c>
      <c r="U167" s="1" t="s">
        <v>1213</v>
      </c>
      <c r="V167" s="1" t="s">
        <v>34</v>
      </c>
      <c r="W167" s="1" t="s">
        <v>1221</v>
      </c>
      <c r="X167" s="1" t="s">
        <v>1090</v>
      </c>
    </row>
    <row r="168" spans="1:24" ht="50.1" customHeight="1" x14ac:dyDescent="0.25">
      <c r="A168" s="1" t="s">
        <v>312</v>
      </c>
      <c r="B168" s="5" t="s">
        <v>313</v>
      </c>
      <c r="C168" s="2" t="s">
        <v>314</v>
      </c>
      <c r="D168" s="2" t="s">
        <v>48</v>
      </c>
      <c r="E168" s="2" t="s">
        <v>48</v>
      </c>
      <c r="F168" s="3">
        <v>5308999999</v>
      </c>
      <c r="G168" s="4" t="s">
        <v>48</v>
      </c>
      <c r="H168" s="1" t="s">
        <v>34</v>
      </c>
      <c r="I168" s="1">
        <v>510286</v>
      </c>
      <c r="J168" s="1" t="s">
        <v>48</v>
      </c>
      <c r="K168" s="1" t="s">
        <v>35</v>
      </c>
      <c r="O168" s="1" t="s">
        <v>0</v>
      </c>
      <c r="Q168" s="1" t="s">
        <v>34</v>
      </c>
      <c r="R168" s="1" t="s">
        <v>34</v>
      </c>
      <c r="S168" s="1" t="s">
        <v>34</v>
      </c>
      <c r="T168" s="1" t="s">
        <v>34</v>
      </c>
      <c r="U168" s="1" t="s">
        <v>1175</v>
      </c>
      <c r="V168" s="1" t="s">
        <v>1210</v>
      </c>
      <c r="W168" s="1" t="s">
        <v>1213</v>
      </c>
      <c r="X168" s="1" t="s">
        <v>1213</v>
      </c>
    </row>
    <row r="169" spans="1:24" ht="50.1" customHeight="1" x14ac:dyDescent="0.25">
      <c r="A169" s="1" t="s">
        <v>465</v>
      </c>
      <c r="B169" s="5" t="s">
        <v>1396</v>
      </c>
      <c r="C169" s="2" t="s">
        <v>467</v>
      </c>
      <c r="D169" s="2" t="s">
        <v>48</v>
      </c>
      <c r="E169" s="2" t="s">
        <v>48</v>
      </c>
      <c r="F169" s="3">
        <v>4156639914</v>
      </c>
      <c r="G169" s="4" t="s">
        <v>48</v>
      </c>
      <c r="H169" s="1" t="s">
        <v>34</v>
      </c>
      <c r="I169" s="1">
        <v>1042358</v>
      </c>
      <c r="J169" s="1" t="s">
        <v>48</v>
      </c>
      <c r="K169" s="1" t="s">
        <v>35</v>
      </c>
      <c r="M169" s="1" t="s">
        <v>2</v>
      </c>
      <c r="N169" s="1" t="s">
        <v>3</v>
      </c>
      <c r="O169" s="1" t="s">
        <v>0</v>
      </c>
      <c r="Q169" s="1" t="s">
        <v>34</v>
      </c>
      <c r="R169" s="1" t="s">
        <v>34</v>
      </c>
      <c r="S169" s="1" t="s">
        <v>34</v>
      </c>
      <c r="T169" s="1" t="s">
        <v>36</v>
      </c>
      <c r="U169" s="1" t="s">
        <v>1213</v>
      </c>
      <c r="V169" s="1" t="s">
        <v>1210</v>
      </c>
      <c r="W169" s="1" t="s">
        <v>1213</v>
      </c>
      <c r="X169" s="1" t="s">
        <v>1091</v>
      </c>
    </row>
    <row r="170" spans="1:24" ht="50.1" customHeight="1" x14ac:dyDescent="0.25">
      <c r="A170" s="1" t="s">
        <v>394</v>
      </c>
      <c r="B170" s="5" t="s">
        <v>1397</v>
      </c>
      <c r="C170" s="2" t="s">
        <v>396</v>
      </c>
      <c r="D170" s="2" t="s">
        <v>48</v>
      </c>
      <c r="E170" s="2" t="s">
        <v>48</v>
      </c>
      <c r="F170" s="3">
        <v>7602302220</v>
      </c>
      <c r="G170" s="4" t="s">
        <v>48</v>
      </c>
      <c r="H170" s="1" t="s">
        <v>34</v>
      </c>
      <c r="I170" s="1">
        <v>959155</v>
      </c>
      <c r="J170" s="1" t="s">
        <v>48</v>
      </c>
      <c r="K170" s="1" t="s">
        <v>35</v>
      </c>
      <c r="L170" s="1" t="s">
        <v>961</v>
      </c>
      <c r="M170" s="1" t="s">
        <v>2</v>
      </c>
      <c r="N170" s="1" t="s">
        <v>3</v>
      </c>
      <c r="O170" s="1" t="s">
        <v>0</v>
      </c>
      <c r="P170" s="1" t="s">
        <v>1</v>
      </c>
      <c r="Q170" s="1" t="s">
        <v>34</v>
      </c>
      <c r="R170" s="1" t="s">
        <v>36</v>
      </c>
      <c r="S170" s="1" t="s">
        <v>36</v>
      </c>
      <c r="T170" s="1" t="s">
        <v>36</v>
      </c>
      <c r="U170" s="1" t="s">
        <v>1213</v>
      </c>
      <c r="V170" s="1" t="s">
        <v>1210</v>
      </c>
      <c r="W170" s="1" t="s">
        <v>1213</v>
      </c>
      <c r="X170" s="1" t="s">
        <v>1092</v>
      </c>
    </row>
    <row r="171" spans="1:24" ht="50.1" customHeight="1" x14ac:dyDescent="0.25">
      <c r="A171" s="1" t="s">
        <v>890</v>
      </c>
      <c r="B171" s="5" t="s">
        <v>690</v>
      </c>
      <c r="C171" s="2" t="s">
        <v>691</v>
      </c>
      <c r="D171" s="2" t="s">
        <v>48</v>
      </c>
      <c r="E171" s="2" t="s">
        <v>48</v>
      </c>
      <c r="F171" s="3">
        <v>6192971149</v>
      </c>
      <c r="G171" s="4" t="s">
        <v>48</v>
      </c>
      <c r="H171" s="1" t="s">
        <v>34</v>
      </c>
      <c r="I171" s="1">
        <v>970079</v>
      </c>
      <c r="J171" s="1" t="s">
        <v>48</v>
      </c>
      <c r="K171" s="1" t="s">
        <v>35</v>
      </c>
      <c r="M171" s="1" t="s">
        <v>2</v>
      </c>
      <c r="O171" s="1" t="s">
        <v>0</v>
      </c>
      <c r="Q171" s="1" t="s">
        <v>36</v>
      </c>
      <c r="R171" s="1" t="s">
        <v>34</v>
      </c>
      <c r="S171" s="1" t="s">
        <v>34</v>
      </c>
      <c r="T171" s="1" t="s">
        <v>34</v>
      </c>
      <c r="U171" s="1" t="s">
        <v>692</v>
      </c>
      <c r="V171" s="1" t="s">
        <v>34</v>
      </c>
      <c r="W171" s="1" t="s">
        <v>693</v>
      </c>
      <c r="X171" s="1" t="s">
        <v>1213</v>
      </c>
    </row>
    <row r="172" spans="1:24" ht="50.1" customHeight="1" x14ac:dyDescent="0.25">
      <c r="A172" s="1" t="s">
        <v>171</v>
      </c>
      <c r="B172" s="5" t="s">
        <v>172</v>
      </c>
      <c r="C172" s="2" t="s">
        <v>173</v>
      </c>
      <c r="D172" s="2" t="s">
        <v>48</v>
      </c>
      <c r="E172" s="2" t="s">
        <v>48</v>
      </c>
      <c r="F172" s="3">
        <v>4153427199</v>
      </c>
      <c r="G172" s="4" t="s">
        <v>48</v>
      </c>
      <c r="H172" s="1" t="s">
        <v>34</v>
      </c>
      <c r="I172" s="1">
        <v>595917</v>
      </c>
      <c r="J172" s="1" t="s">
        <v>48</v>
      </c>
      <c r="L172" s="1" t="s">
        <v>44</v>
      </c>
      <c r="M172" s="1" t="s">
        <v>2</v>
      </c>
      <c r="N172" s="1" t="s">
        <v>3</v>
      </c>
      <c r="Q172" s="1" t="s">
        <v>34</v>
      </c>
      <c r="R172" s="1" t="s">
        <v>34</v>
      </c>
      <c r="S172" s="1" t="s">
        <v>34</v>
      </c>
      <c r="T172" s="1" t="s">
        <v>36</v>
      </c>
      <c r="U172" s="1" t="s">
        <v>1213</v>
      </c>
      <c r="V172" s="1" t="s">
        <v>34</v>
      </c>
      <c r="W172" s="1" t="s">
        <v>1176</v>
      </c>
      <c r="X172" s="1" t="s">
        <v>1093</v>
      </c>
    </row>
    <row r="173" spans="1:24" ht="50.1" customHeight="1" x14ac:dyDescent="0.25">
      <c r="A173" s="1" t="s">
        <v>405</v>
      </c>
      <c r="B173" s="5" t="s">
        <v>406</v>
      </c>
      <c r="C173" s="2" t="s">
        <v>407</v>
      </c>
      <c r="D173" s="2" t="s">
        <v>48</v>
      </c>
      <c r="E173" s="2" t="s">
        <v>48</v>
      </c>
      <c r="F173" s="3">
        <v>6198800445</v>
      </c>
      <c r="G173" s="4" t="s">
        <v>48</v>
      </c>
      <c r="H173" s="1" t="s">
        <v>34</v>
      </c>
      <c r="I173" s="1">
        <v>1017484</v>
      </c>
      <c r="J173" s="1" t="s">
        <v>48</v>
      </c>
      <c r="K173" s="1" t="s">
        <v>35</v>
      </c>
      <c r="L173" s="1" t="s">
        <v>961</v>
      </c>
      <c r="M173" s="1" t="s">
        <v>2</v>
      </c>
      <c r="N173" s="1" t="s">
        <v>3</v>
      </c>
      <c r="O173" s="1" t="s">
        <v>0</v>
      </c>
      <c r="Q173" s="1" t="s">
        <v>34</v>
      </c>
      <c r="R173" s="1" t="s">
        <v>34</v>
      </c>
      <c r="S173" s="1" t="s">
        <v>36</v>
      </c>
      <c r="T173" s="1" t="s">
        <v>36</v>
      </c>
      <c r="U173" s="1" t="s">
        <v>1213</v>
      </c>
      <c r="V173" s="1" t="s">
        <v>34</v>
      </c>
      <c r="W173" s="1" t="s">
        <v>1178</v>
      </c>
      <c r="X173" s="1" t="s">
        <v>1177</v>
      </c>
    </row>
    <row r="174" spans="1:24" ht="50.1" customHeight="1" x14ac:dyDescent="0.25">
      <c r="A174" s="1" t="s">
        <v>237</v>
      </c>
      <c r="B174" s="5" t="s">
        <v>238</v>
      </c>
      <c r="C174" s="2" t="s">
        <v>239</v>
      </c>
      <c r="D174" s="2" t="s">
        <v>48</v>
      </c>
      <c r="E174" s="2" t="s">
        <v>48</v>
      </c>
      <c r="F174" s="3">
        <v>8338765272</v>
      </c>
      <c r="G174" s="4" t="s">
        <v>48</v>
      </c>
      <c r="H174" s="1" t="s">
        <v>34</v>
      </c>
      <c r="I174" s="1">
        <v>971422</v>
      </c>
      <c r="J174" s="1" t="s">
        <v>48</v>
      </c>
      <c r="K174" s="1" t="s">
        <v>35</v>
      </c>
      <c r="L174" s="1" t="s">
        <v>961</v>
      </c>
      <c r="M174" s="1" t="s">
        <v>2</v>
      </c>
      <c r="N174" s="1" t="s">
        <v>3</v>
      </c>
      <c r="O174" s="1" t="s">
        <v>0</v>
      </c>
      <c r="Q174" s="1" t="s">
        <v>36</v>
      </c>
      <c r="R174" s="1" t="s">
        <v>34</v>
      </c>
      <c r="S174" s="1" t="s">
        <v>34</v>
      </c>
      <c r="T174" s="1" t="s">
        <v>36</v>
      </c>
      <c r="U174" s="1" t="s">
        <v>1213</v>
      </c>
      <c r="V174" s="1" t="s">
        <v>1210</v>
      </c>
      <c r="W174" s="1" t="s">
        <v>1213</v>
      </c>
      <c r="X174" s="1" t="s">
        <v>1179</v>
      </c>
    </row>
    <row r="175" spans="1:24" ht="50.1" customHeight="1" x14ac:dyDescent="0.25">
      <c r="A175" s="1" t="s">
        <v>290</v>
      </c>
      <c r="B175" s="2" t="s">
        <v>1398</v>
      </c>
      <c r="C175" s="2" t="s">
        <v>291</v>
      </c>
      <c r="D175" s="2" t="s">
        <v>48</v>
      </c>
      <c r="E175" s="2" t="s">
        <v>48</v>
      </c>
      <c r="F175" s="3">
        <v>7078250759</v>
      </c>
      <c r="G175" s="4" t="s">
        <v>48</v>
      </c>
      <c r="H175" s="1" t="s">
        <v>34</v>
      </c>
      <c r="I175" s="1">
        <v>1036962</v>
      </c>
      <c r="J175" s="1" t="s">
        <v>48</v>
      </c>
      <c r="K175" s="1" t="s">
        <v>35</v>
      </c>
      <c r="L175" s="1" t="s">
        <v>961</v>
      </c>
      <c r="M175" s="1" t="s">
        <v>2</v>
      </c>
      <c r="N175" s="1" t="s">
        <v>3</v>
      </c>
      <c r="O175" s="1" t="s">
        <v>0</v>
      </c>
      <c r="P175" s="1" t="s">
        <v>1</v>
      </c>
      <c r="Q175" s="1" t="s">
        <v>34</v>
      </c>
      <c r="R175" s="1" t="s">
        <v>34</v>
      </c>
      <c r="S175" s="1" t="s">
        <v>34</v>
      </c>
      <c r="T175" s="1" t="s">
        <v>36</v>
      </c>
      <c r="U175" s="1" t="s">
        <v>1213</v>
      </c>
      <c r="V175" s="1" t="s">
        <v>34</v>
      </c>
      <c r="W175" s="1" t="s">
        <v>292</v>
      </c>
      <c r="X175" s="1" t="s">
        <v>1045</v>
      </c>
    </row>
    <row r="176" spans="1:24" ht="50.1" customHeight="1" x14ac:dyDescent="0.25">
      <c r="A176" s="1" t="s">
        <v>630</v>
      </c>
      <c r="B176" s="5" t="s">
        <v>628</v>
      </c>
      <c r="C176" s="2" t="s">
        <v>629</v>
      </c>
      <c r="D176" s="2" t="s">
        <v>48</v>
      </c>
      <c r="E176" s="2" t="s">
        <v>48</v>
      </c>
      <c r="F176" s="3">
        <v>8882103366</v>
      </c>
      <c r="G176" s="4" t="s">
        <v>48</v>
      </c>
      <c r="H176" s="1" t="s">
        <v>34</v>
      </c>
      <c r="I176" s="1">
        <v>978152</v>
      </c>
      <c r="J176" s="1" t="s">
        <v>48</v>
      </c>
      <c r="K176" s="1" t="s">
        <v>35</v>
      </c>
      <c r="M176" s="1" t="s">
        <v>2</v>
      </c>
      <c r="Q176" s="1" t="s">
        <v>34</v>
      </c>
      <c r="R176" s="1" t="s">
        <v>34</v>
      </c>
      <c r="S176" s="1" t="s">
        <v>34</v>
      </c>
      <c r="T176" s="1" t="s">
        <v>36</v>
      </c>
      <c r="U176" s="1" t="s">
        <v>1213</v>
      </c>
      <c r="V176" s="1" t="s">
        <v>1210</v>
      </c>
      <c r="W176" s="1" t="s">
        <v>1213</v>
      </c>
      <c r="X176" s="1" t="s">
        <v>631</v>
      </c>
    </row>
    <row r="177" spans="1:24" ht="50.1" customHeight="1" x14ac:dyDescent="0.25">
      <c r="A177" s="1" t="s">
        <v>139</v>
      </c>
      <c r="B177" s="2" t="s">
        <v>384</v>
      </c>
      <c r="C177" s="2" t="s">
        <v>140</v>
      </c>
      <c r="D177" s="2" t="s">
        <v>48</v>
      </c>
      <c r="E177" s="2" t="s">
        <v>48</v>
      </c>
      <c r="F177" s="3">
        <v>9166167800</v>
      </c>
      <c r="G177" s="4" t="s">
        <v>48</v>
      </c>
      <c r="H177" s="1" t="s">
        <v>34</v>
      </c>
      <c r="I177" s="1">
        <v>852492</v>
      </c>
      <c r="J177" s="1" t="s">
        <v>48</v>
      </c>
      <c r="K177" s="1" t="s">
        <v>35</v>
      </c>
      <c r="L177" s="1" t="s">
        <v>961</v>
      </c>
      <c r="O177" s="1" t="s">
        <v>0</v>
      </c>
      <c r="Q177" s="1" t="s">
        <v>36</v>
      </c>
      <c r="R177" s="1" t="s">
        <v>34</v>
      </c>
      <c r="S177" s="1" t="s">
        <v>34</v>
      </c>
      <c r="T177" s="1" t="s">
        <v>34</v>
      </c>
      <c r="U177" s="1" t="s">
        <v>979</v>
      </c>
      <c r="V177" s="1" t="s">
        <v>34</v>
      </c>
      <c r="W177" s="1" t="s">
        <v>141</v>
      </c>
      <c r="X177" s="1" t="s">
        <v>1213</v>
      </c>
    </row>
    <row r="178" spans="1:24" ht="50.1" customHeight="1" x14ac:dyDescent="0.25">
      <c r="A178" s="1" t="s">
        <v>886</v>
      </c>
      <c r="B178" s="5" t="s">
        <v>674</v>
      </c>
      <c r="C178" s="2" t="s">
        <v>675</v>
      </c>
      <c r="D178" s="2" t="s">
        <v>48</v>
      </c>
      <c r="E178" s="2" t="s">
        <v>48</v>
      </c>
      <c r="F178" s="3">
        <v>8005513040</v>
      </c>
      <c r="G178" s="4" t="s">
        <v>48</v>
      </c>
      <c r="H178" s="1" t="s">
        <v>34</v>
      </c>
      <c r="I178" s="1">
        <v>453302</v>
      </c>
      <c r="J178" s="1" t="s">
        <v>48</v>
      </c>
      <c r="L178" s="1" t="s">
        <v>44</v>
      </c>
      <c r="N178" s="1" t="s">
        <v>3</v>
      </c>
      <c r="Q178" s="1" t="s">
        <v>34</v>
      </c>
      <c r="R178" s="1" t="s">
        <v>34</v>
      </c>
      <c r="S178" s="1" t="s">
        <v>34</v>
      </c>
      <c r="T178" s="1" t="s">
        <v>34</v>
      </c>
      <c r="U178" s="1" t="s">
        <v>676</v>
      </c>
      <c r="V178" s="1" t="s">
        <v>34</v>
      </c>
      <c r="W178" s="1" t="s">
        <v>677</v>
      </c>
      <c r="X178" s="1" t="s">
        <v>1046</v>
      </c>
    </row>
    <row r="179" spans="1:24" ht="50.1" customHeight="1" x14ac:dyDescent="0.25">
      <c r="A179" s="1" t="s">
        <v>934</v>
      </c>
      <c r="B179" s="5" t="s">
        <v>794</v>
      </c>
      <c r="C179" s="2" t="s">
        <v>795</v>
      </c>
      <c r="D179" s="2" t="s">
        <v>48</v>
      </c>
      <c r="E179" s="2" t="s">
        <v>48</v>
      </c>
      <c r="F179" s="3">
        <v>2093530631</v>
      </c>
      <c r="G179" s="4" t="s">
        <v>48</v>
      </c>
      <c r="H179" s="1" t="s">
        <v>34</v>
      </c>
      <c r="I179" s="1">
        <v>997639</v>
      </c>
      <c r="J179" s="1" t="s">
        <v>48</v>
      </c>
      <c r="K179" s="1" t="s">
        <v>35</v>
      </c>
      <c r="L179" s="1" t="s">
        <v>961</v>
      </c>
      <c r="M179" s="1" t="s">
        <v>2</v>
      </c>
      <c r="O179" s="1" t="s">
        <v>0</v>
      </c>
      <c r="Q179" s="1" t="s">
        <v>36</v>
      </c>
      <c r="R179" s="1" t="s">
        <v>36</v>
      </c>
      <c r="S179" s="1" t="s">
        <v>36</v>
      </c>
      <c r="T179" s="1" t="s">
        <v>34</v>
      </c>
      <c r="U179" s="1" t="s">
        <v>796</v>
      </c>
      <c r="V179" s="1" t="s">
        <v>1210</v>
      </c>
      <c r="W179" s="1" t="s">
        <v>1213</v>
      </c>
      <c r="X179" s="1" t="s">
        <v>1213</v>
      </c>
    </row>
    <row r="180" spans="1:24" ht="50.1" customHeight="1" x14ac:dyDescent="0.25">
      <c r="A180" s="1" t="s">
        <v>562</v>
      </c>
      <c r="B180" s="5" t="s">
        <v>563</v>
      </c>
      <c r="C180" s="2" t="s">
        <v>564</v>
      </c>
      <c r="D180" s="2" t="s">
        <v>48</v>
      </c>
      <c r="E180" s="2" t="s">
        <v>48</v>
      </c>
      <c r="F180" s="3">
        <v>4087793333</v>
      </c>
      <c r="G180" s="4" t="s">
        <v>48</v>
      </c>
      <c r="H180" s="1" t="s">
        <v>34</v>
      </c>
      <c r="I180" s="1">
        <v>765156</v>
      </c>
      <c r="J180" s="1" t="s">
        <v>48</v>
      </c>
      <c r="L180" s="1" t="s">
        <v>44</v>
      </c>
      <c r="O180" s="1" t="s">
        <v>0</v>
      </c>
      <c r="Q180" s="1" t="s">
        <v>1210</v>
      </c>
      <c r="R180" s="1" t="s">
        <v>1210</v>
      </c>
      <c r="S180" s="1" t="s">
        <v>1210</v>
      </c>
      <c r="T180" s="1" t="s">
        <v>36</v>
      </c>
      <c r="U180" s="1" t="s">
        <v>1213</v>
      </c>
      <c r="V180" s="1" t="s">
        <v>1210</v>
      </c>
      <c r="W180" s="1" t="s">
        <v>1213</v>
      </c>
      <c r="X180" s="1" t="s">
        <v>1213</v>
      </c>
    </row>
    <row r="181" spans="1:24" ht="50.1" customHeight="1" x14ac:dyDescent="0.25">
      <c r="A181" s="1" t="s">
        <v>933</v>
      </c>
      <c r="B181" s="5" t="s">
        <v>789</v>
      </c>
      <c r="C181" s="2" t="s">
        <v>790</v>
      </c>
      <c r="D181" s="2" t="s">
        <v>48</v>
      </c>
      <c r="E181" s="2" t="s">
        <v>48</v>
      </c>
      <c r="F181" s="3">
        <v>3105320995</v>
      </c>
      <c r="G181" s="4" t="s">
        <v>48</v>
      </c>
      <c r="H181" s="1" t="s">
        <v>34</v>
      </c>
      <c r="I181" s="1">
        <v>990055</v>
      </c>
      <c r="J181" s="1" t="s">
        <v>48</v>
      </c>
      <c r="L181" s="1" t="s">
        <v>44</v>
      </c>
      <c r="N181" s="1" t="s">
        <v>3</v>
      </c>
      <c r="Q181" s="1" t="s">
        <v>34</v>
      </c>
      <c r="R181" s="1" t="s">
        <v>34</v>
      </c>
      <c r="S181" s="1" t="s">
        <v>34</v>
      </c>
      <c r="T181" s="1" t="s">
        <v>34</v>
      </c>
      <c r="U181" s="1" t="s">
        <v>791</v>
      </c>
      <c r="V181" s="1" t="s">
        <v>1210</v>
      </c>
      <c r="W181" s="1" t="s">
        <v>1213</v>
      </c>
      <c r="X181" s="1" t="s">
        <v>1213</v>
      </c>
    </row>
    <row r="182" spans="1:24" ht="50.1" customHeight="1" x14ac:dyDescent="0.25">
      <c r="A182" s="1" t="s">
        <v>874</v>
      </c>
      <c r="B182" s="5" t="s">
        <v>1399</v>
      </c>
      <c r="C182" s="2" t="s">
        <v>642</v>
      </c>
      <c r="D182" s="2" t="s">
        <v>48</v>
      </c>
      <c r="E182" s="2" t="s">
        <v>48</v>
      </c>
      <c r="F182" s="3">
        <v>7604804400</v>
      </c>
      <c r="G182" s="4" t="s">
        <v>48</v>
      </c>
      <c r="H182" s="1" t="s">
        <v>34</v>
      </c>
      <c r="I182" s="1">
        <v>328332</v>
      </c>
      <c r="J182" s="1" t="s">
        <v>48</v>
      </c>
      <c r="K182" s="1" t="s">
        <v>35</v>
      </c>
      <c r="L182" s="1" t="s">
        <v>961</v>
      </c>
      <c r="M182" s="1" t="s">
        <v>2</v>
      </c>
      <c r="N182" s="1" t="s">
        <v>3</v>
      </c>
      <c r="O182" s="1" t="s">
        <v>0</v>
      </c>
      <c r="P182" s="1" t="s">
        <v>1</v>
      </c>
      <c r="Q182" s="1" t="s">
        <v>36</v>
      </c>
      <c r="R182" s="1" t="s">
        <v>36</v>
      </c>
      <c r="S182" s="1" t="s">
        <v>34</v>
      </c>
      <c r="T182" s="1" t="s">
        <v>36</v>
      </c>
      <c r="U182" s="1" t="s">
        <v>1213</v>
      </c>
      <c r="V182" s="1" t="s">
        <v>1210</v>
      </c>
      <c r="W182" s="1" t="s">
        <v>1213</v>
      </c>
      <c r="X182" s="1" t="s">
        <v>1213</v>
      </c>
    </row>
    <row r="183" spans="1:24" ht="50.1" customHeight="1" x14ac:dyDescent="0.25">
      <c r="A183" s="1" t="s">
        <v>893</v>
      </c>
      <c r="B183" s="5" t="s">
        <v>1400</v>
      </c>
      <c r="C183" s="2" t="s">
        <v>700</v>
      </c>
      <c r="D183" s="2" t="s">
        <v>48</v>
      </c>
      <c r="E183" s="2" t="s">
        <v>48</v>
      </c>
      <c r="F183" s="3">
        <v>3103869640</v>
      </c>
      <c r="G183" s="4" t="s">
        <v>48</v>
      </c>
      <c r="H183" s="1" t="s">
        <v>34</v>
      </c>
      <c r="I183" s="1">
        <v>981611</v>
      </c>
      <c r="J183" s="1" t="s">
        <v>48</v>
      </c>
      <c r="L183" s="1" t="s">
        <v>44</v>
      </c>
      <c r="O183" s="1" t="s">
        <v>0</v>
      </c>
      <c r="Q183" s="1" t="s">
        <v>34</v>
      </c>
      <c r="R183" s="1" t="s">
        <v>34</v>
      </c>
      <c r="S183" s="1" t="s">
        <v>34</v>
      </c>
      <c r="T183" s="1" t="s">
        <v>34</v>
      </c>
      <c r="U183" s="1" t="s">
        <v>701</v>
      </c>
      <c r="V183" s="1" t="s">
        <v>34</v>
      </c>
      <c r="W183" s="1" t="s">
        <v>702</v>
      </c>
      <c r="X183" s="1" t="s">
        <v>1094</v>
      </c>
    </row>
    <row r="184" spans="1:24" ht="50.1" customHeight="1" x14ac:dyDescent="0.25">
      <c r="A184" s="1" t="s">
        <v>491</v>
      </c>
      <c r="B184" s="5" t="s">
        <v>492</v>
      </c>
      <c r="C184" s="2" t="s">
        <v>493</v>
      </c>
      <c r="D184" s="2" t="s">
        <v>48</v>
      </c>
      <c r="E184" s="2" t="s">
        <v>48</v>
      </c>
      <c r="F184" s="3">
        <v>9253270980</v>
      </c>
      <c r="G184" s="4" t="s">
        <v>48</v>
      </c>
      <c r="H184" s="1" t="s">
        <v>34</v>
      </c>
      <c r="I184" s="1">
        <v>800947</v>
      </c>
      <c r="J184" s="1" t="s">
        <v>48</v>
      </c>
      <c r="K184" s="1" t="s">
        <v>35</v>
      </c>
      <c r="M184" s="1" t="s">
        <v>2</v>
      </c>
      <c r="O184" s="1" t="s">
        <v>0</v>
      </c>
      <c r="Q184" s="1" t="s">
        <v>34</v>
      </c>
      <c r="R184" s="1" t="s">
        <v>36</v>
      </c>
      <c r="S184" s="1" t="s">
        <v>34</v>
      </c>
      <c r="T184" s="1" t="s">
        <v>36</v>
      </c>
      <c r="U184" s="1" t="s">
        <v>1213</v>
      </c>
      <c r="V184" s="1" t="s">
        <v>1210</v>
      </c>
      <c r="W184" s="1" t="s">
        <v>1213</v>
      </c>
      <c r="X184" s="1" t="s">
        <v>1213</v>
      </c>
    </row>
    <row r="185" spans="1:24" ht="50.1" customHeight="1" x14ac:dyDescent="0.25">
      <c r="A185" s="1" t="s">
        <v>64</v>
      </c>
      <c r="B185" s="5" t="s">
        <v>65</v>
      </c>
      <c r="C185" s="2" t="s">
        <v>66</v>
      </c>
      <c r="D185" s="2" t="s">
        <v>48</v>
      </c>
      <c r="E185" s="2" t="s">
        <v>48</v>
      </c>
      <c r="F185" s="3">
        <v>4158262503</v>
      </c>
      <c r="G185" s="4" t="s">
        <v>48</v>
      </c>
      <c r="H185" s="1" t="s">
        <v>34</v>
      </c>
      <c r="I185" s="1">
        <v>943484</v>
      </c>
      <c r="J185" s="1" t="s">
        <v>48</v>
      </c>
      <c r="K185" s="1" t="s">
        <v>35</v>
      </c>
      <c r="M185" s="1" t="s">
        <v>2</v>
      </c>
      <c r="N185" s="1" t="s">
        <v>3</v>
      </c>
      <c r="O185" s="1" t="s">
        <v>0</v>
      </c>
      <c r="Q185" s="1" t="s">
        <v>34</v>
      </c>
      <c r="R185" s="1" t="s">
        <v>34</v>
      </c>
      <c r="S185" s="1" t="s">
        <v>34</v>
      </c>
      <c r="T185" s="1" t="s">
        <v>36</v>
      </c>
      <c r="U185" s="1" t="s">
        <v>1213</v>
      </c>
      <c r="V185" s="1" t="s">
        <v>1210</v>
      </c>
      <c r="W185" s="1" t="s">
        <v>1213</v>
      </c>
      <c r="X185" s="1" t="s">
        <v>1213</v>
      </c>
    </row>
    <row r="186" spans="1:24" ht="50.1" customHeight="1" x14ac:dyDescent="0.25">
      <c r="A186" s="1" t="s">
        <v>91</v>
      </c>
      <c r="B186" s="5" t="s">
        <v>1401</v>
      </c>
      <c r="C186" s="2" t="s">
        <v>93</v>
      </c>
      <c r="D186" s="2" t="s">
        <v>48</v>
      </c>
      <c r="E186" s="2" t="s">
        <v>48</v>
      </c>
      <c r="F186" s="3">
        <v>6502607655</v>
      </c>
      <c r="G186" s="4" t="s">
        <v>48</v>
      </c>
      <c r="H186" s="1" t="s">
        <v>34</v>
      </c>
      <c r="I186" s="1">
        <v>984488</v>
      </c>
      <c r="J186" s="1" t="s">
        <v>48</v>
      </c>
      <c r="K186" s="1" t="s">
        <v>35</v>
      </c>
      <c r="L186" s="1" t="s">
        <v>961</v>
      </c>
      <c r="M186" s="1" t="s">
        <v>2</v>
      </c>
      <c r="O186" s="1" t="s">
        <v>0</v>
      </c>
      <c r="Q186" s="1" t="s">
        <v>34</v>
      </c>
      <c r="R186" s="1" t="s">
        <v>34</v>
      </c>
      <c r="S186" s="1" t="s">
        <v>34</v>
      </c>
      <c r="T186" s="1" t="s">
        <v>34</v>
      </c>
      <c r="U186" s="1" t="s">
        <v>94</v>
      </c>
      <c r="V186" s="1" t="s">
        <v>34</v>
      </c>
      <c r="W186" s="1" t="s">
        <v>95</v>
      </c>
      <c r="X186" s="1" t="s">
        <v>1180</v>
      </c>
    </row>
    <row r="187" spans="1:24" ht="50.1" customHeight="1" x14ac:dyDescent="0.25">
      <c r="A187" s="1" t="s">
        <v>922</v>
      </c>
      <c r="B187" s="2" t="s">
        <v>1213</v>
      </c>
      <c r="C187" s="2" t="s">
        <v>767</v>
      </c>
      <c r="D187" s="2" t="s">
        <v>48</v>
      </c>
      <c r="E187" s="2" t="s">
        <v>48</v>
      </c>
      <c r="F187" s="3">
        <v>6506819445</v>
      </c>
      <c r="G187" s="4" t="s">
        <v>48</v>
      </c>
      <c r="H187" s="1" t="s">
        <v>34</v>
      </c>
      <c r="I187" s="1">
        <v>858377</v>
      </c>
      <c r="J187" s="1" t="s">
        <v>48</v>
      </c>
      <c r="K187" s="1" t="s">
        <v>35</v>
      </c>
      <c r="L187" s="1" t="s">
        <v>961</v>
      </c>
      <c r="M187" s="1" t="s">
        <v>2</v>
      </c>
      <c r="N187" s="1" t="s">
        <v>3</v>
      </c>
      <c r="O187" s="1" t="s">
        <v>0</v>
      </c>
      <c r="P187" s="1" t="s">
        <v>1</v>
      </c>
      <c r="Q187" s="1" t="s">
        <v>36</v>
      </c>
      <c r="R187" s="1" t="s">
        <v>36</v>
      </c>
      <c r="S187" s="1" t="s">
        <v>36</v>
      </c>
      <c r="T187" s="1" t="s">
        <v>36</v>
      </c>
      <c r="U187" s="1" t="s">
        <v>1213</v>
      </c>
      <c r="V187" s="1" t="s">
        <v>34</v>
      </c>
      <c r="W187" s="1" t="s">
        <v>966</v>
      </c>
      <c r="X187" s="1" t="s">
        <v>1095</v>
      </c>
    </row>
    <row r="188" spans="1:24" ht="50.1" customHeight="1" x14ac:dyDescent="0.25">
      <c r="A188" s="1" t="s">
        <v>864</v>
      </c>
      <c r="B188" s="5" t="s">
        <v>618</v>
      </c>
      <c r="C188" s="2" t="s">
        <v>320</v>
      </c>
      <c r="D188" s="2" t="s">
        <v>48</v>
      </c>
      <c r="E188" s="2" t="s">
        <v>48</v>
      </c>
      <c r="F188" s="3">
        <v>4153827717</v>
      </c>
      <c r="G188" s="4" t="s">
        <v>48</v>
      </c>
      <c r="H188" s="1" t="s">
        <v>34</v>
      </c>
      <c r="I188" s="1">
        <v>497797</v>
      </c>
      <c r="J188" s="1" t="s">
        <v>48</v>
      </c>
      <c r="K188" s="1" t="s">
        <v>35</v>
      </c>
      <c r="L188" s="1" t="s">
        <v>961</v>
      </c>
      <c r="M188" s="1" t="s">
        <v>2</v>
      </c>
      <c r="N188" s="1" t="s">
        <v>3</v>
      </c>
      <c r="O188" s="1" t="s">
        <v>0</v>
      </c>
      <c r="Q188" s="1" t="s">
        <v>34</v>
      </c>
      <c r="R188" s="1" t="s">
        <v>36</v>
      </c>
      <c r="S188" s="1" t="s">
        <v>34</v>
      </c>
      <c r="T188" s="1" t="s">
        <v>36</v>
      </c>
      <c r="U188" s="1" t="s">
        <v>1213</v>
      </c>
      <c r="V188" s="1" t="s">
        <v>34</v>
      </c>
      <c r="W188" s="1" t="s">
        <v>1181</v>
      </c>
      <c r="X188" s="1" t="s">
        <v>619</v>
      </c>
    </row>
    <row r="189" spans="1:24" ht="50.1" customHeight="1" x14ac:dyDescent="0.25">
      <c r="A189" s="1" t="s">
        <v>897</v>
      </c>
      <c r="B189" s="5" t="s">
        <v>898</v>
      </c>
      <c r="C189" s="2" t="s">
        <v>715</v>
      </c>
      <c r="D189" s="2" t="s">
        <v>48</v>
      </c>
      <c r="E189" s="2" t="s">
        <v>48</v>
      </c>
      <c r="F189" s="3">
        <v>3102130790</v>
      </c>
      <c r="G189" s="4" t="s">
        <v>48</v>
      </c>
      <c r="H189" s="1" t="s">
        <v>34</v>
      </c>
      <c r="I189" s="1">
        <v>994683</v>
      </c>
      <c r="J189" s="1" t="s">
        <v>48</v>
      </c>
      <c r="K189" s="1" t="s">
        <v>35</v>
      </c>
      <c r="L189" s="1" t="s">
        <v>961</v>
      </c>
      <c r="M189" s="1" t="s">
        <v>2</v>
      </c>
      <c r="N189" s="1" t="s">
        <v>3</v>
      </c>
      <c r="O189" s="1" t="s">
        <v>0</v>
      </c>
      <c r="P189" s="1" t="s">
        <v>1</v>
      </c>
      <c r="Q189" s="1" t="s">
        <v>34</v>
      </c>
      <c r="R189" s="1" t="s">
        <v>34</v>
      </c>
      <c r="S189" s="1" t="s">
        <v>34</v>
      </c>
      <c r="T189" s="1" t="s">
        <v>36</v>
      </c>
      <c r="U189" s="1" t="s">
        <v>1213</v>
      </c>
      <c r="V189" s="1" t="s">
        <v>1210</v>
      </c>
      <c r="W189" s="1" t="s">
        <v>1213</v>
      </c>
      <c r="X189" s="1" t="s">
        <v>716</v>
      </c>
    </row>
    <row r="190" spans="1:24" ht="50.1" customHeight="1" x14ac:dyDescent="0.25">
      <c r="A190" s="1" t="s">
        <v>454</v>
      </c>
      <c r="B190" s="5" t="s">
        <v>455</v>
      </c>
      <c r="C190" s="2" t="s">
        <v>456</v>
      </c>
      <c r="D190" s="2" t="s">
        <v>48</v>
      </c>
      <c r="E190" s="2" t="s">
        <v>48</v>
      </c>
      <c r="F190" s="3">
        <v>2092983301</v>
      </c>
      <c r="G190" s="4" t="s">
        <v>48</v>
      </c>
      <c r="H190" s="1" t="s">
        <v>34</v>
      </c>
      <c r="I190" s="1">
        <v>1010308</v>
      </c>
      <c r="J190" s="1" t="s">
        <v>48</v>
      </c>
      <c r="K190" s="1" t="s">
        <v>35</v>
      </c>
      <c r="O190" s="1" t="s">
        <v>0</v>
      </c>
      <c r="Q190" s="1" t="s">
        <v>34</v>
      </c>
      <c r="R190" s="1" t="s">
        <v>36</v>
      </c>
      <c r="S190" s="1" t="s">
        <v>34</v>
      </c>
      <c r="T190" s="1" t="s">
        <v>34</v>
      </c>
      <c r="U190" s="1" t="s">
        <v>1213</v>
      </c>
      <c r="V190" s="1" t="s">
        <v>1210</v>
      </c>
      <c r="W190" s="1" t="s">
        <v>1213</v>
      </c>
      <c r="X190" s="1" t="s">
        <v>1213</v>
      </c>
    </row>
    <row r="191" spans="1:24" ht="50.1" customHeight="1" x14ac:dyDescent="0.25">
      <c r="A191" s="1" t="s">
        <v>905</v>
      </c>
      <c r="B191" s="5" t="s">
        <v>1402</v>
      </c>
      <c r="C191" s="2" t="s">
        <v>730</v>
      </c>
      <c r="D191" s="2" t="s">
        <v>48</v>
      </c>
      <c r="E191" s="2" t="s">
        <v>48</v>
      </c>
      <c r="F191" s="3">
        <v>9099801800</v>
      </c>
      <c r="G191" s="4" t="s">
        <v>48</v>
      </c>
      <c r="H191" s="1" t="s">
        <v>34</v>
      </c>
      <c r="I191" s="1">
        <v>929565</v>
      </c>
      <c r="J191" s="1" t="s">
        <v>48</v>
      </c>
      <c r="K191" s="1" t="s">
        <v>35</v>
      </c>
      <c r="L191" s="1" t="s">
        <v>961</v>
      </c>
      <c r="M191" s="1" t="s">
        <v>2</v>
      </c>
      <c r="N191" s="1" t="s">
        <v>3</v>
      </c>
      <c r="O191" s="1" t="s">
        <v>0</v>
      </c>
      <c r="Q191" s="1" t="s">
        <v>36</v>
      </c>
      <c r="R191" s="1" t="s">
        <v>36</v>
      </c>
      <c r="S191" s="1" t="s">
        <v>34</v>
      </c>
      <c r="T191" s="1" t="s">
        <v>34</v>
      </c>
      <c r="U191" s="1" t="s">
        <v>731</v>
      </c>
      <c r="V191" s="1" t="s">
        <v>1210</v>
      </c>
      <c r="W191" s="1" t="s">
        <v>1213</v>
      </c>
      <c r="X191" s="1" t="s">
        <v>1213</v>
      </c>
    </row>
    <row r="192" spans="1:24" ht="50.1" customHeight="1" x14ac:dyDescent="0.25">
      <c r="A192" s="1" t="s">
        <v>953</v>
      </c>
      <c r="B192" s="5" t="s">
        <v>840</v>
      </c>
      <c r="C192" s="2" t="s">
        <v>841</v>
      </c>
      <c r="D192" s="2" t="s">
        <v>48</v>
      </c>
      <c r="E192" s="2" t="s">
        <v>48</v>
      </c>
      <c r="F192" s="3">
        <v>5594461175</v>
      </c>
      <c r="G192" s="4" t="s">
        <v>48</v>
      </c>
      <c r="H192" s="1" t="s">
        <v>34</v>
      </c>
      <c r="I192" s="1">
        <v>1021919</v>
      </c>
      <c r="J192" s="1" t="s">
        <v>48</v>
      </c>
      <c r="K192" s="1" t="s">
        <v>35</v>
      </c>
      <c r="M192" s="1" t="s">
        <v>2</v>
      </c>
      <c r="O192" s="1" t="s">
        <v>0</v>
      </c>
      <c r="Q192" s="1" t="s">
        <v>34</v>
      </c>
      <c r="R192" s="1" t="s">
        <v>36</v>
      </c>
      <c r="S192" s="1" t="s">
        <v>34</v>
      </c>
      <c r="T192" s="1" t="s">
        <v>36</v>
      </c>
      <c r="U192" s="1" t="s">
        <v>1213</v>
      </c>
      <c r="V192" s="1" t="s">
        <v>34</v>
      </c>
      <c r="W192" s="1" t="s">
        <v>842</v>
      </c>
      <c r="X192" s="1" t="s">
        <v>1213</v>
      </c>
    </row>
    <row r="193" spans="1:24" ht="50.1" customHeight="1" x14ac:dyDescent="0.25">
      <c r="A193" s="1" t="s">
        <v>106</v>
      </c>
      <c r="B193" s="5" t="s">
        <v>107</v>
      </c>
      <c r="C193" s="2" t="s">
        <v>108</v>
      </c>
      <c r="D193" s="2" t="s">
        <v>48</v>
      </c>
      <c r="E193" s="2" t="s">
        <v>48</v>
      </c>
      <c r="F193" s="3">
        <v>8449994786</v>
      </c>
      <c r="G193" s="4" t="s">
        <v>48</v>
      </c>
      <c r="H193" s="1" t="s">
        <v>34</v>
      </c>
      <c r="I193" s="1">
        <v>972228</v>
      </c>
      <c r="J193" s="1" t="s">
        <v>48</v>
      </c>
      <c r="K193" s="1" t="s">
        <v>35</v>
      </c>
      <c r="M193" s="1" t="s">
        <v>2</v>
      </c>
      <c r="O193" s="1" t="s">
        <v>0</v>
      </c>
      <c r="Q193" s="1" t="s">
        <v>34</v>
      </c>
      <c r="R193" s="1" t="s">
        <v>34</v>
      </c>
      <c r="S193" s="1" t="s">
        <v>34</v>
      </c>
      <c r="T193" s="1" t="s">
        <v>34</v>
      </c>
      <c r="U193" s="1" t="s">
        <v>1202</v>
      </c>
      <c r="V193" s="1" t="s">
        <v>34</v>
      </c>
      <c r="W193" s="1" t="s">
        <v>1182</v>
      </c>
      <c r="X193" s="1" t="s">
        <v>1047</v>
      </c>
    </row>
    <row r="194" spans="1:24" ht="50.1" customHeight="1" x14ac:dyDescent="0.25">
      <c r="A194" s="1" t="s">
        <v>501</v>
      </c>
      <c r="B194" s="5" t="s">
        <v>1229</v>
      </c>
      <c r="C194" s="2" t="s">
        <v>502</v>
      </c>
      <c r="D194" s="2" t="s">
        <v>48</v>
      </c>
      <c r="E194" s="2" t="s">
        <v>48</v>
      </c>
      <c r="F194" s="3">
        <v>9512447767</v>
      </c>
      <c r="G194" s="4" t="s">
        <v>48</v>
      </c>
      <c r="H194" s="1" t="s">
        <v>34</v>
      </c>
      <c r="I194" s="1">
        <v>988172</v>
      </c>
      <c r="J194" s="1" t="s">
        <v>48</v>
      </c>
      <c r="K194" s="1" t="s">
        <v>35</v>
      </c>
      <c r="L194" s="1" t="s">
        <v>44</v>
      </c>
      <c r="M194" s="1" t="s">
        <v>2</v>
      </c>
      <c r="N194" s="1" t="s">
        <v>3</v>
      </c>
      <c r="O194" s="1" t="s">
        <v>0</v>
      </c>
      <c r="P194" s="1" t="s">
        <v>1</v>
      </c>
      <c r="Q194" s="1" t="s">
        <v>34</v>
      </c>
      <c r="R194" s="1" t="s">
        <v>34</v>
      </c>
      <c r="S194" s="1" t="s">
        <v>34</v>
      </c>
      <c r="T194" s="1" t="s">
        <v>34</v>
      </c>
      <c r="U194" s="1" t="s">
        <v>503</v>
      </c>
      <c r="V194" s="1" t="s">
        <v>34</v>
      </c>
      <c r="W194" s="1" t="s">
        <v>504</v>
      </c>
      <c r="X194" s="1" t="s">
        <v>1213</v>
      </c>
    </row>
    <row r="195" spans="1:24" ht="50.1" customHeight="1" x14ac:dyDescent="0.25">
      <c r="A195" s="1" t="s">
        <v>891</v>
      </c>
      <c r="B195" s="5" t="s">
        <v>694</v>
      </c>
      <c r="C195" s="2" t="s">
        <v>695</v>
      </c>
      <c r="D195" s="2" t="s">
        <v>48</v>
      </c>
      <c r="E195" s="2" t="s">
        <v>48</v>
      </c>
      <c r="F195" s="3">
        <v>7608054664</v>
      </c>
      <c r="G195" s="4" t="s">
        <v>48</v>
      </c>
      <c r="H195" s="1" t="s">
        <v>34</v>
      </c>
      <c r="I195" s="1">
        <v>990943</v>
      </c>
      <c r="J195" s="1" t="s">
        <v>48</v>
      </c>
      <c r="L195" s="1" t="s">
        <v>44</v>
      </c>
      <c r="N195" s="1" t="s">
        <v>3</v>
      </c>
      <c r="Q195" s="1" t="s">
        <v>36</v>
      </c>
      <c r="R195" s="1" t="s">
        <v>36</v>
      </c>
      <c r="S195" s="1" t="s">
        <v>34</v>
      </c>
      <c r="T195" s="1" t="s">
        <v>36</v>
      </c>
      <c r="U195" s="1" t="s">
        <v>1213</v>
      </c>
      <c r="V195" s="1" t="s">
        <v>1210</v>
      </c>
      <c r="W195" s="1" t="s">
        <v>1213</v>
      </c>
      <c r="X195" s="1" t="s">
        <v>1213</v>
      </c>
    </row>
    <row r="196" spans="1:24" ht="50.1" customHeight="1" x14ac:dyDescent="0.25">
      <c r="A196" s="1" t="s">
        <v>96</v>
      </c>
      <c r="B196" s="5" t="s">
        <v>97</v>
      </c>
      <c r="C196" s="2" t="s">
        <v>590</v>
      </c>
      <c r="D196" s="2" t="s">
        <v>98</v>
      </c>
      <c r="E196" s="2" t="s">
        <v>48</v>
      </c>
      <c r="F196" s="3">
        <v>5303443237</v>
      </c>
      <c r="G196" s="4" t="s">
        <v>48</v>
      </c>
      <c r="H196" s="1" t="s">
        <v>34</v>
      </c>
      <c r="I196" s="1">
        <v>950064</v>
      </c>
      <c r="J196" s="1" t="s">
        <v>48</v>
      </c>
      <c r="K196" s="1" t="s">
        <v>35</v>
      </c>
      <c r="L196" s="1" t="s">
        <v>44</v>
      </c>
      <c r="M196" s="1" t="s">
        <v>2</v>
      </c>
      <c r="N196" s="1" t="s">
        <v>3</v>
      </c>
      <c r="O196" s="1" t="s">
        <v>0</v>
      </c>
      <c r="P196" s="1" t="s">
        <v>1</v>
      </c>
      <c r="Q196" s="1" t="s">
        <v>34</v>
      </c>
      <c r="R196" s="1" t="s">
        <v>34</v>
      </c>
      <c r="S196" s="1" t="s">
        <v>34</v>
      </c>
      <c r="T196" s="1" t="s">
        <v>36</v>
      </c>
      <c r="U196" s="1" t="s">
        <v>565</v>
      </c>
      <c r="V196" s="1" t="s">
        <v>34</v>
      </c>
      <c r="W196" s="1" t="s">
        <v>1183</v>
      </c>
      <c r="X196" s="1" t="s">
        <v>566</v>
      </c>
    </row>
    <row r="197" spans="1:24" ht="50.1" customHeight="1" x14ac:dyDescent="0.25">
      <c r="A197" s="1" t="s">
        <v>861</v>
      </c>
      <c r="B197" s="5" t="s">
        <v>608</v>
      </c>
      <c r="C197" s="2" t="s">
        <v>609</v>
      </c>
      <c r="D197" s="2" t="s">
        <v>48</v>
      </c>
      <c r="E197" s="2" t="s">
        <v>48</v>
      </c>
      <c r="F197" s="3">
        <v>8055069084</v>
      </c>
      <c r="G197" s="4" t="s">
        <v>48</v>
      </c>
      <c r="H197" s="1" t="s">
        <v>34</v>
      </c>
      <c r="I197" s="1">
        <v>1040428</v>
      </c>
      <c r="J197" s="1" t="s">
        <v>48</v>
      </c>
      <c r="Q197" s="1" t="s">
        <v>34</v>
      </c>
      <c r="R197" s="1" t="s">
        <v>34</v>
      </c>
      <c r="S197" s="1" t="s">
        <v>34</v>
      </c>
      <c r="T197" s="1" t="s">
        <v>34</v>
      </c>
      <c r="U197" s="1" t="s">
        <v>610</v>
      </c>
      <c r="V197" s="1" t="s">
        <v>1210</v>
      </c>
      <c r="W197" s="1" t="s">
        <v>1213</v>
      </c>
      <c r="X197" s="1" t="s">
        <v>1048</v>
      </c>
    </row>
    <row r="198" spans="1:24" ht="50.1" customHeight="1" x14ac:dyDescent="0.25">
      <c r="A198" s="1" t="s">
        <v>244</v>
      </c>
      <c r="B198" s="5" t="s">
        <v>245</v>
      </c>
      <c r="C198" s="2" t="s">
        <v>246</v>
      </c>
      <c r="D198" s="2" t="s">
        <v>48</v>
      </c>
      <c r="E198" s="2" t="s">
        <v>48</v>
      </c>
      <c r="F198" s="3">
        <v>7603004141</v>
      </c>
      <c r="G198" s="4" t="s">
        <v>48</v>
      </c>
      <c r="H198" s="1" t="s">
        <v>34</v>
      </c>
      <c r="I198" s="1">
        <v>988146</v>
      </c>
      <c r="J198" s="1" t="s">
        <v>48</v>
      </c>
      <c r="Q198" s="1" t="s">
        <v>34</v>
      </c>
      <c r="R198" s="1" t="s">
        <v>34</v>
      </c>
      <c r="S198" s="1" t="s">
        <v>34</v>
      </c>
      <c r="T198" s="1" t="s">
        <v>34</v>
      </c>
      <c r="U198" s="1" t="s">
        <v>247</v>
      </c>
      <c r="V198" s="1" t="s">
        <v>34</v>
      </c>
      <c r="W198" s="1" t="s">
        <v>249</v>
      </c>
      <c r="X198" s="1" t="s">
        <v>248</v>
      </c>
    </row>
    <row r="199" spans="1:24" ht="50.1" customHeight="1" x14ac:dyDescent="0.25">
      <c r="A199" s="1" t="s">
        <v>318</v>
      </c>
      <c r="B199" s="5" t="s">
        <v>319</v>
      </c>
      <c r="C199" s="2" t="s">
        <v>320</v>
      </c>
      <c r="D199" s="2" t="s">
        <v>48</v>
      </c>
      <c r="E199" s="2" t="s">
        <v>48</v>
      </c>
      <c r="F199" s="3">
        <v>4153827717</v>
      </c>
      <c r="G199" s="4" t="s">
        <v>48</v>
      </c>
      <c r="H199" s="1" t="s">
        <v>34</v>
      </c>
      <c r="I199" s="1">
        <v>497797</v>
      </c>
      <c r="J199" s="1" t="s">
        <v>48</v>
      </c>
      <c r="K199" s="1" t="s">
        <v>35</v>
      </c>
      <c r="M199" s="1" t="s">
        <v>2</v>
      </c>
      <c r="O199" s="1" t="s">
        <v>0</v>
      </c>
      <c r="Q199" s="1" t="s">
        <v>34</v>
      </c>
      <c r="R199" s="1" t="s">
        <v>34</v>
      </c>
      <c r="S199" s="1" t="s">
        <v>34</v>
      </c>
      <c r="T199" s="1" t="s">
        <v>34</v>
      </c>
      <c r="U199" s="1" t="s">
        <v>1184</v>
      </c>
      <c r="V199" s="1" t="s">
        <v>1210</v>
      </c>
      <c r="W199" s="1" t="s">
        <v>1213</v>
      </c>
      <c r="X199" s="1" t="s">
        <v>1185</v>
      </c>
    </row>
    <row r="200" spans="1:24" ht="50.1" customHeight="1" x14ac:dyDescent="0.25">
      <c r="A200" s="1" t="s">
        <v>862</v>
      </c>
      <c r="B200" s="5" t="s">
        <v>613</v>
      </c>
      <c r="C200" s="2" t="s">
        <v>614</v>
      </c>
      <c r="D200" s="2" t="s">
        <v>48</v>
      </c>
      <c r="E200" s="2" t="s">
        <v>48</v>
      </c>
      <c r="F200" s="3">
        <v>8585474300</v>
      </c>
      <c r="G200" s="4" t="s">
        <v>48</v>
      </c>
      <c r="H200" s="1" t="s">
        <v>34</v>
      </c>
      <c r="I200" s="1">
        <v>941109</v>
      </c>
      <c r="J200" s="1" t="s">
        <v>48</v>
      </c>
      <c r="K200" s="1" t="s">
        <v>35</v>
      </c>
      <c r="L200" s="1" t="s">
        <v>961</v>
      </c>
      <c r="M200" s="1" t="s">
        <v>2</v>
      </c>
      <c r="N200" s="1" t="s">
        <v>3</v>
      </c>
      <c r="O200" s="1" t="s">
        <v>0</v>
      </c>
      <c r="Q200" s="1" t="s">
        <v>34</v>
      </c>
      <c r="R200" s="1" t="s">
        <v>34</v>
      </c>
      <c r="S200" s="1" t="s">
        <v>34</v>
      </c>
      <c r="T200" s="1" t="s">
        <v>34</v>
      </c>
      <c r="U200" s="1" t="s">
        <v>1186</v>
      </c>
      <c r="V200" s="1" t="s">
        <v>34</v>
      </c>
      <c r="W200" s="1" t="s">
        <v>615</v>
      </c>
      <c r="X200" s="1" t="s">
        <v>1049</v>
      </c>
    </row>
    <row r="201" spans="1:24" ht="50.1" customHeight="1" x14ac:dyDescent="0.25">
      <c r="A201" s="1" t="s">
        <v>476</v>
      </c>
      <c r="B201" s="5" t="s">
        <v>477</v>
      </c>
      <c r="C201" s="2" t="s">
        <v>478</v>
      </c>
      <c r="D201" s="2" t="s">
        <v>48</v>
      </c>
      <c r="E201" s="2" t="s">
        <v>48</v>
      </c>
      <c r="F201" s="3">
        <v>19097490106</v>
      </c>
      <c r="G201" s="4" t="s">
        <v>48</v>
      </c>
      <c r="H201" s="1" t="s">
        <v>34</v>
      </c>
      <c r="I201" s="1">
        <v>971194</v>
      </c>
      <c r="J201" s="1" t="s">
        <v>48</v>
      </c>
      <c r="K201" s="1" t="s">
        <v>35</v>
      </c>
      <c r="L201" s="1" t="s">
        <v>961</v>
      </c>
      <c r="M201" s="1" t="s">
        <v>2</v>
      </c>
      <c r="N201" s="1" t="s">
        <v>3</v>
      </c>
      <c r="O201" s="1" t="s">
        <v>0</v>
      </c>
      <c r="P201" s="1" t="s">
        <v>1</v>
      </c>
      <c r="Q201" s="1" t="s">
        <v>34</v>
      </c>
      <c r="R201" s="1" t="s">
        <v>34</v>
      </c>
      <c r="S201" s="1" t="s">
        <v>34</v>
      </c>
      <c r="T201" s="1" t="s">
        <v>36</v>
      </c>
      <c r="U201" s="1" t="s">
        <v>1213</v>
      </c>
      <c r="V201" s="1" t="s">
        <v>1210</v>
      </c>
      <c r="W201" s="1" t="s">
        <v>1213</v>
      </c>
      <c r="X201" s="1" t="s">
        <v>1213</v>
      </c>
    </row>
    <row r="202" spans="1:24" ht="50.1" customHeight="1" x14ac:dyDescent="0.25">
      <c r="A202" s="1" t="s">
        <v>160</v>
      </c>
      <c r="B202" s="5" t="s">
        <v>161</v>
      </c>
      <c r="C202" s="2" t="s">
        <v>162</v>
      </c>
      <c r="D202" s="2" t="s">
        <v>48</v>
      </c>
      <c r="E202" s="2" t="s">
        <v>48</v>
      </c>
      <c r="F202" s="3">
        <v>9164001197</v>
      </c>
      <c r="G202" s="4" t="s">
        <v>48</v>
      </c>
      <c r="H202" s="1" t="s">
        <v>34</v>
      </c>
      <c r="I202" s="1">
        <v>1018541</v>
      </c>
      <c r="J202" s="1" t="s">
        <v>48</v>
      </c>
      <c r="K202" s="1" t="s">
        <v>35</v>
      </c>
      <c r="L202" s="1" t="s">
        <v>961</v>
      </c>
      <c r="M202" s="1" t="s">
        <v>2</v>
      </c>
      <c r="N202" s="1" t="s">
        <v>3</v>
      </c>
      <c r="O202" s="1" t="s">
        <v>0</v>
      </c>
      <c r="P202" s="1" t="s">
        <v>1</v>
      </c>
      <c r="Q202" s="1" t="s">
        <v>34</v>
      </c>
      <c r="R202" s="1" t="s">
        <v>36</v>
      </c>
      <c r="S202" s="1" t="s">
        <v>34</v>
      </c>
      <c r="T202" s="1" t="s">
        <v>36</v>
      </c>
      <c r="U202" s="1" t="s">
        <v>1213</v>
      </c>
      <c r="V202" s="1" t="s">
        <v>34</v>
      </c>
      <c r="W202" s="1" t="s">
        <v>1187</v>
      </c>
      <c r="X202" s="1" t="s">
        <v>1096</v>
      </c>
    </row>
    <row r="203" spans="1:24" ht="50.1" customHeight="1" x14ac:dyDescent="0.25">
      <c r="A203" s="1" t="s">
        <v>420</v>
      </c>
      <c r="B203" s="5" t="s">
        <v>421</v>
      </c>
      <c r="C203" s="2" t="s">
        <v>422</v>
      </c>
      <c r="D203" s="2" t="s">
        <v>48</v>
      </c>
      <c r="E203" s="2" t="s">
        <v>48</v>
      </c>
      <c r="F203" s="3">
        <v>8054665595</v>
      </c>
      <c r="G203" s="4" t="s">
        <v>48</v>
      </c>
      <c r="H203" s="1" t="s">
        <v>34</v>
      </c>
      <c r="I203" s="1">
        <v>391670</v>
      </c>
      <c r="J203" s="1" t="s">
        <v>48</v>
      </c>
      <c r="K203" s="1" t="s">
        <v>35</v>
      </c>
      <c r="L203" s="1" t="s">
        <v>961</v>
      </c>
      <c r="M203" s="1" t="s">
        <v>2</v>
      </c>
      <c r="N203" s="1" t="s">
        <v>3</v>
      </c>
      <c r="O203" s="1" t="s">
        <v>0</v>
      </c>
      <c r="Q203" s="1" t="s">
        <v>34</v>
      </c>
      <c r="R203" s="1" t="s">
        <v>34</v>
      </c>
      <c r="S203" s="1" t="s">
        <v>34</v>
      </c>
      <c r="T203" s="1" t="s">
        <v>34</v>
      </c>
      <c r="U203" s="1" t="s">
        <v>1188</v>
      </c>
      <c r="V203" s="1" t="s">
        <v>34</v>
      </c>
      <c r="W203" s="1" t="s">
        <v>1189</v>
      </c>
      <c r="X203" s="1" t="s">
        <v>1097</v>
      </c>
    </row>
    <row r="204" spans="1:24" ht="50.1" customHeight="1" x14ac:dyDescent="0.25">
      <c r="A204" s="1" t="s">
        <v>227</v>
      </c>
      <c r="B204" s="5" t="s">
        <v>228</v>
      </c>
      <c r="C204" s="2" t="s">
        <v>229</v>
      </c>
      <c r="D204" s="2" t="s">
        <v>48</v>
      </c>
      <c r="E204" s="2" t="s">
        <v>48</v>
      </c>
      <c r="F204" s="3">
        <v>8888668117</v>
      </c>
      <c r="G204" s="4" t="s">
        <v>48</v>
      </c>
      <c r="H204" s="1" t="s">
        <v>34</v>
      </c>
      <c r="I204" s="1">
        <v>835131</v>
      </c>
      <c r="J204" s="1" t="s">
        <v>48</v>
      </c>
      <c r="K204" s="1" t="s">
        <v>35</v>
      </c>
      <c r="M204" s="1" t="s">
        <v>2</v>
      </c>
      <c r="N204" s="1" t="s">
        <v>3</v>
      </c>
      <c r="O204" s="1" t="s">
        <v>0</v>
      </c>
      <c r="P204" s="1" t="s">
        <v>1</v>
      </c>
      <c r="Q204" s="1" t="s">
        <v>36</v>
      </c>
      <c r="R204" s="1" t="s">
        <v>34</v>
      </c>
      <c r="S204" s="1" t="s">
        <v>34</v>
      </c>
      <c r="T204" s="1" t="s">
        <v>36</v>
      </c>
      <c r="U204" s="1" t="s">
        <v>1213</v>
      </c>
      <c r="V204" s="1" t="s">
        <v>1210</v>
      </c>
      <c r="W204" s="1" t="s">
        <v>1213</v>
      </c>
      <c r="X204" s="1" t="s">
        <v>1050</v>
      </c>
    </row>
    <row r="205" spans="1:24" ht="50.1" customHeight="1" x14ac:dyDescent="0.25">
      <c r="A205" s="1" t="s">
        <v>950</v>
      </c>
      <c r="B205" s="5" t="s">
        <v>949</v>
      </c>
      <c r="C205" s="2" t="s">
        <v>835</v>
      </c>
      <c r="D205" s="2" t="s">
        <v>48</v>
      </c>
      <c r="E205" s="2" t="s">
        <v>48</v>
      </c>
      <c r="F205" s="3">
        <v>5593256907</v>
      </c>
      <c r="G205" s="4" t="s">
        <v>48</v>
      </c>
      <c r="H205" s="1" t="s">
        <v>34</v>
      </c>
      <c r="I205" s="1">
        <v>911489</v>
      </c>
      <c r="J205" s="1" t="s">
        <v>48</v>
      </c>
      <c r="K205" s="1" t="s">
        <v>35</v>
      </c>
      <c r="L205" s="1" t="s">
        <v>961</v>
      </c>
      <c r="M205" s="1" t="s">
        <v>2</v>
      </c>
      <c r="N205" s="1" t="s">
        <v>3</v>
      </c>
      <c r="O205" s="1" t="s">
        <v>0</v>
      </c>
      <c r="Q205" s="1" t="s">
        <v>34</v>
      </c>
      <c r="R205" s="1" t="s">
        <v>34</v>
      </c>
      <c r="S205" s="1" t="s">
        <v>34</v>
      </c>
      <c r="T205" s="1" t="s">
        <v>36</v>
      </c>
      <c r="U205" s="1" t="s">
        <v>1213</v>
      </c>
      <c r="V205" s="1" t="s">
        <v>1210</v>
      </c>
      <c r="W205" s="1" t="s">
        <v>1213</v>
      </c>
      <c r="X205" s="1" t="s">
        <v>1213</v>
      </c>
    </row>
    <row r="206" spans="1:24" ht="50.1" customHeight="1" x14ac:dyDescent="0.25">
      <c r="A206" s="1" t="s">
        <v>556</v>
      </c>
      <c r="B206" s="5" t="s">
        <v>557</v>
      </c>
      <c r="C206" s="2" t="s">
        <v>558</v>
      </c>
      <c r="D206" s="2" t="s">
        <v>48</v>
      </c>
      <c r="E206" s="2" t="s">
        <v>48</v>
      </c>
      <c r="F206" s="3">
        <v>7078498543</v>
      </c>
      <c r="G206" s="4" t="s">
        <v>48</v>
      </c>
      <c r="H206" s="1" t="s">
        <v>34</v>
      </c>
      <c r="I206" s="1">
        <v>1035189</v>
      </c>
      <c r="J206" s="1" t="s">
        <v>48</v>
      </c>
      <c r="K206" s="1" t="s">
        <v>35</v>
      </c>
      <c r="M206" s="1" t="s">
        <v>2</v>
      </c>
      <c r="O206" s="1" t="s">
        <v>0</v>
      </c>
      <c r="Q206" s="1" t="s">
        <v>34</v>
      </c>
      <c r="R206" s="1" t="s">
        <v>36</v>
      </c>
      <c r="S206" s="1" t="s">
        <v>34</v>
      </c>
      <c r="T206" s="1" t="s">
        <v>36</v>
      </c>
      <c r="U206" s="1" t="s">
        <v>1213</v>
      </c>
      <c r="V206" s="1" t="s">
        <v>1210</v>
      </c>
      <c r="W206" s="1" t="s">
        <v>1213</v>
      </c>
      <c r="X206" s="1" t="s">
        <v>1213</v>
      </c>
    </row>
    <row r="207" spans="1:24" ht="50.1" customHeight="1" x14ac:dyDescent="0.25">
      <c r="A207" s="1" t="s">
        <v>894</v>
      </c>
      <c r="B207" s="5" t="s">
        <v>703</v>
      </c>
      <c r="C207" s="2" t="s">
        <v>704</v>
      </c>
      <c r="D207" s="2" t="s">
        <v>48</v>
      </c>
      <c r="E207" s="2" t="s">
        <v>48</v>
      </c>
      <c r="F207" s="3">
        <v>9253095442</v>
      </c>
      <c r="G207" s="4" t="s">
        <v>48</v>
      </c>
      <c r="H207" s="1" t="s">
        <v>34</v>
      </c>
      <c r="I207" s="1">
        <v>1053105</v>
      </c>
      <c r="J207" s="1" t="s">
        <v>48</v>
      </c>
      <c r="K207" s="1" t="s">
        <v>35</v>
      </c>
      <c r="M207" s="1" t="s">
        <v>2</v>
      </c>
      <c r="N207" s="1" t="s">
        <v>3</v>
      </c>
      <c r="O207" s="1" t="s">
        <v>0</v>
      </c>
      <c r="Q207" s="1" t="s">
        <v>34</v>
      </c>
      <c r="R207" s="1" t="s">
        <v>34</v>
      </c>
      <c r="S207" s="1" t="s">
        <v>34</v>
      </c>
      <c r="T207" s="1" t="s">
        <v>36</v>
      </c>
      <c r="U207" s="1" t="s">
        <v>1213</v>
      </c>
      <c r="V207" s="1" t="s">
        <v>34</v>
      </c>
      <c r="W207" s="1" t="s">
        <v>705</v>
      </c>
      <c r="X207" s="1" t="s">
        <v>1098</v>
      </c>
    </row>
    <row r="208" spans="1:24" ht="50.1" customHeight="1" x14ac:dyDescent="0.25">
      <c r="A208" s="1" t="s">
        <v>582</v>
      </c>
      <c r="B208" s="5" t="s">
        <v>1403</v>
      </c>
      <c r="C208" s="2" t="s">
        <v>584</v>
      </c>
      <c r="D208" s="2" t="s">
        <v>48</v>
      </c>
      <c r="E208" s="2" t="s">
        <v>48</v>
      </c>
      <c r="F208" s="3">
        <v>7608514270</v>
      </c>
      <c r="G208" s="4" t="s">
        <v>48</v>
      </c>
      <c r="H208" s="1" t="s">
        <v>34</v>
      </c>
      <c r="I208" s="1">
        <v>1021026</v>
      </c>
      <c r="J208" s="1" t="s">
        <v>48</v>
      </c>
      <c r="K208" s="1" t="s">
        <v>35</v>
      </c>
      <c r="L208" s="1" t="s">
        <v>961</v>
      </c>
      <c r="M208" s="1" t="s">
        <v>2</v>
      </c>
      <c r="N208" s="1" t="s">
        <v>3</v>
      </c>
      <c r="O208" s="1" t="s">
        <v>0</v>
      </c>
      <c r="Q208" s="1" t="s">
        <v>34</v>
      </c>
      <c r="R208" s="1" t="s">
        <v>34</v>
      </c>
      <c r="S208" s="1" t="s">
        <v>34</v>
      </c>
      <c r="T208" s="1" t="s">
        <v>36</v>
      </c>
      <c r="U208" s="1" t="s">
        <v>1213</v>
      </c>
      <c r="V208" s="1" t="s">
        <v>1210</v>
      </c>
      <c r="W208" s="1" t="s">
        <v>1213</v>
      </c>
      <c r="X208" s="1" t="s">
        <v>1051</v>
      </c>
    </row>
    <row r="209" spans="1:24" ht="50.1" customHeight="1" x14ac:dyDescent="0.25">
      <c r="A209" s="1" t="s">
        <v>333</v>
      </c>
      <c r="B209" s="5" t="s">
        <v>334</v>
      </c>
      <c r="C209" s="2" t="s">
        <v>335</v>
      </c>
      <c r="D209" s="2" t="s">
        <v>48</v>
      </c>
      <c r="E209" s="2" t="s">
        <v>48</v>
      </c>
      <c r="F209" s="3">
        <v>5102857352</v>
      </c>
      <c r="G209" s="4" t="s">
        <v>48</v>
      </c>
      <c r="H209" s="1" t="s">
        <v>34</v>
      </c>
      <c r="I209" s="1">
        <v>1045240</v>
      </c>
      <c r="J209" s="1" t="s">
        <v>48</v>
      </c>
      <c r="L209" s="1" t="s">
        <v>44</v>
      </c>
      <c r="N209" s="1" t="s">
        <v>3</v>
      </c>
      <c r="Q209" s="1" t="s">
        <v>34</v>
      </c>
      <c r="R209" s="1" t="s">
        <v>34</v>
      </c>
      <c r="S209" s="1" t="s">
        <v>34</v>
      </c>
      <c r="T209" s="1" t="s">
        <v>36</v>
      </c>
      <c r="U209" s="1" t="s">
        <v>1213</v>
      </c>
      <c r="V209" s="1" t="s">
        <v>34</v>
      </c>
      <c r="W209" s="1" t="s">
        <v>1052</v>
      </c>
      <c r="X209" s="1" t="s">
        <v>336</v>
      </c>
    </row>
    <row r="210" spans="1:24" ht="50.1" customHeight="1" x14ac:dyDescent="0.25">
      <c r="A210" s="1" t="s">
        <v>129</v>
      </c>
      <c r="B210" s="5" t="s">
        <v>1404</v>
      </c>
      <c r="C210" s="2" t="s">
        <v>131</v>
      </c>
      <c r="D210" s="2" t="s">
        <v>48</v>
      </c>
      <c r="E210" s="2" t="s">
        <v>48</v>
      </c>
      <c r="F210" s="3">
        <v>8667876527</v>
      </c>
      <c r="G210" s="4" t="s">
        <v>48</v>
      </c>
      <c r="H210" s="1" t="s">
        <v>34</v>
      </c>
      <c r="I210" s="1">
        <v>749095</v>
      </c>
      <c r="J210" s="1" t="s">
        <v>48</v>
      </c>
      <c r="K210" s="1" t="s">
        <v>35</v>
      </c>
      <c r="L210" s="1" t="s">
        <v>961</v>
      </c>
      <c r="M210" s="1" t="s">
        <v>2</v>
      </c>
      <c r="N210" s="1" t="s">
        <v>3</v>
      </c>
      <c r="O210" s="1" t="s">
        <v>0</v>
      </c>
      <c r="Q210" s="1" t="s">
        <v>34</v>
      </c>
      <c r="R210" s="1" t="s">
        <v>34</v>
      </c>
      <c r="S210" s="1" t="s">
        <v>34</v>
      </c>
      <c r="T210" s="1" t="s">
        <v>34</v>
      </c>
      <c r="U210" s="1" t="s">
        <v>132</v>
      </c>
      <c r="V210" s="1" t="s">
        <v>34</v>
      </c>
      <c r="W210" s="1" t="s">
        <v>1190</v>
      </c>
      <c r="X210" s="1" t="s">
        <v>133</v>
      </c>
    </row>
    <row r="211" spans="1:24" ht="50.1" customHeight="1" x14ac:dyDescent="0.25">
      <c r="A211" s="1" t="s">
        <v>102</v>
      </c>
      <c r="B211" s="5" t="s">
        <v>1405</v>
      </c>
      <c r="C211" s="2" t="s">
        <v>104</v>
      </c>
      <c r="D211" s="2" t="s">
        <v>48</v>
      </c>
      <c r="E211" s="2" t="s">
        <v>48</v>
      </c>
      <c r="F211" s="3">
        <v>8773747836</v>
      </c>
      <c r="G211" s="4" t="s">
        <v>48</v>
      </c>
      <c r="H211" s="1" t="s">
        <v>34</v>
      </c>
      <c r="I211" s="1">
        <v>999142</v>
      </c>
      <c r="J211" s="1" t="s">
        <v>48</v>
      </c>
      <c r="L211" s="1" t="s">
        <v>961</v>
      </c>
      <c r="P211" s="1" t="s">
        <v>1</v>
      </c>
      <c r="Q211" s="1" t="s">
        <v>34</v>
      </c>
      <c r="R211" s="1" t="s">
        <v>34</v>
      </c>
      <c r="S211" s="1" t="s">
        <v>34</v>
      </c>
      <c r="T211" s="1" t="s">
        <v>36</v>
      </c>
      <c r="U211" s="1" t="s">
        <v>1213</v>
      </c>
      <c r="V211" s="1" t="s">
        <v>1210</v>
      </c>
      <c r="W211" s="1" t="s">
        <v>1213</v>
      </c>
      <c r="X211" s="1" t="s">
        <v>105</v>
      </c>
    </row>
    <row r="212" spans="1:24" ht="50.1" customHeight="1" x14ac:dyDescent="0.25">
      <c r="A212" s="1" t="s">
        <v>901</v>
      </c>
      <c r="B212" s="5" t="s">
        <v>720</v>
      </c>
      <c r="C212" s="2" t="s">
        <v>721</v>
      </c>
      <c r="D212" s="2" t="s">
        <v>48</v>
      </c>
      <c r="E212" s="2" t="s">
        <v>48</v>
      </c>
      <c r="F212" s="3">
        <v>9516849303</v>
      </c>
      <c r="G212" s="4" t="s">
        <v>956</v>
      </c>
      <c r="H212" s="1" t="s">
        <v>34</v>
      </c>
      <c r="I212" s="1">
        <v>787490</v>
      </c>
      <c r="J212" s="1" t="s">
        <v>48</v>
      </c>
      <c r="K212" s="1" t="s">
        <v>35</v>
      </c>
      <c r="L212" s="1" t="s">
        <v>961</v>
      </c>
      <c r="O212" s="1" t="s">
        <v>0</v>
      </c>
      <c r="Q212" s="1" t="s">
        <v>36</v>
      </c>
      <c r="R212" s="1" t="s">
        <v>34</v>
      </c>
      <c r="S212" s="1" t="s">
        <v>34</v>
      </c>
      <c r="T212" s="1" t="s">
        <v>36</v>
      </c>
      <c r="U212" s="1" t="s">
        <v>1213</v>
      </c>
      <c r="V212" s="1" t="s">
        <v>1210</v>
      </c>
      <c r="W212" s="1" t="s">
        <v>1213</v>
      </c>
      <c r="X212" s="1" t="s">
        <v>1213</v>
      </c>
    </row>
    <row r="213" spans="1:24" ht="50.1" customHeight="1" x14ac:dyDescent="0.25">
      <c r="A213" s="1" t="s">
        <v>337</v>
      </c>
      <c r="B213" s="5" t="s">
        <v>338</v>
      </c>
      <c r="C213" s="2" t="s">
        <v>339</v>
      </c>
      <c r="D213" s="2" t="s">
        <v>48</v>
      </c>
      <c r="E213" s="2" t="s">
        <v>48</v>
      </c>
      <c r="F213" s="3">
        <v>8002334786</v>
      </c>
      <c r="G213" s="4" t="s">
        <v>48</v>
      </c>
      <c r="H213" s="1" t="s">
        <v>34</v>
      </c>
      <c r="I213" s="1">
        <v>326203</v>
      </c>
      <c r="J213" s="1" t="s">
        <v>48</v>
      </c>
      <c r="Q213" s="1" t="s">
        <v>34</v>
      </c>
      <c r="R213" s="1" t="s">
        <v>34</v>
      </c>
      <c r="S213" s="1" t="s">
        <v>34</v>
      </c>
      <c r="T213" s="1" t="s">
        <v>34</v>
      </c>
      <c r="U213" s="1" t="s">
        <v>340</v>
      </c>
      <c r="V213" s="1" t="s">
        <v>34</v>
      </c>
      <c r="W213" s="1" t="s">
        <v>1191</v>
      </c>
      <c r="X213" s="1" t="s">
        <v>1053</v>
      </c>
    </row>
    <row r="214" spans="1:24" ht="50.1" customHeight="1" x14ac:dyDescent="0.25">
      <c r="A214" s="1" t="s">
        <v>925</v>
      </c>
      <c r="B214" s="5" t="s">
        <v>88</v>
      </c>
      <c r="C214" s="2" t="s">
        <v>770</v>
      </c>
      <c r="D214" s="2" t="s">
        <v>48</v>
      </c>
      <c r="E214" s="2" t="s">
        <v>48</v>
      </c>
      <c r="F214" s="3">
        <v>7079998036</v>
      </c>
      <c r="G214" s="4" t="s">
        <v>48</v>
      </c>
      <c r="H214" s="1" t="s">
        <v>34</v>
      </c>
      <c r="I214" s="1">
        <v>979872</v>
      </c>
      <c r="J214" s="1" t="s">
        <v>48</v>
      </c>
      <c r="K214" s="1" t="s">
        <v>35</v>
      </c>
      <c r="M214" s="1" t="s">
        <v>2</v>
      </c>
      <c r="N214" s="1" t="s">
        <v>3</v>
      </c>
      <c r="O214" s="1" t="s">
        <v>0</v>
      </c>
      <c r="P214" s="1" t="s">
        <v>1</v>
      </c>
      <c r="Q214" s="1" t="s">
        <v>34</v>
      </c>
      <c r="R214" s="1" t="s">
        <v>34</v>
      </c>
      <c r="S214" s="1" t="s">
        <v>34</v>
      </c>
      <c r="T214" s="1" t="s">
        <v>34</v>
      </c>
      <c r="U214" s="1" t="s">
        <v>771</v>
      </c>
      <c r="V214" s="1" t="s">
        <v>34</v>
      </c>
      <c r="W214" s="1" t="s">
        <v>1054</v>
      </c>
      <c r="X214" s="1" t="s">
        <v>1213</v>
      </c>
    </row>
    <row r="215" spans="1:24" ht="50.1" customHeight="1" x14ac:dyDescent="0.25">
      <c r="A215" s="1" t="s">
        <v>297</v>
      </c>
      <c r="B215" s="5" t="s">
        <v>817</v>
      </c>
      <c r="C215" s="2" t="s">
        <v>818</v>
      </c>
      <c r="D215" s="2" t="s">
        <v>299</v>
      </c>
      <c r="E215" s="2" t="s">
        <v>48</v>
      </c>
      <c r="F215" s="3">
        <v>9167599513</v>
      </c>
      <c r="G215" s="3">
        <v>8333217866</v>
      </c>
      <c r="H215" s="1" t="s">
        <v>34</v>
      </c>
      <c r="I215" s="1">
        <v>970886</v>
      </c>
      <c r="J215" s="1" t="s">
        <v>48</v>
      </c>
      <c r="K215" s="1" t="s">
        <v>35</v>
      </c>
      <c r="L215" s="1" t="s">
        <v>961</v>
      </c>
      <c r="M215" s="1" t="s">
        <v>2</v>
      </c>
      <c r="N215" s="1" t="s">
        <v>3</v>
      </c>
      <c r="O215" s="1" t="s">
        <v>0</v>
      </c>
      <c r="Q215" s="1" t="s">
        <v>34</v>
      </c>
      <c r="R215" s="1" t="s">
        <v>34</v>
      </c>
      <c r="S215" s="1" t="s">
        <v>34</v>
      </c>
      <c r="T215" s="1" t="s">
        <v>34</v>
      </c>
      <c r="U215" s="1" t="s">
        <v>300</v>
      </c>
      <c r="V215" s="1" t="s">
        <v>1210</v>
      </c>
      <c r="W215" s="1" t="s">
        <v>1213</v>
      </c>
      <c r="X215" s="1" t="s">
        <v>1213</v>
      </c>
    </row>
    <row r="216" spans="1:24" ht="50.1" customHeight="1" x14ac:dyDescent="0.25">
      <c r="A216" s="1" t="s">
        <v>919</v>
      </c>
      <c r="B216" s="5" t="s">
        <v>759</v>
      </c>
      <c r="C216" s="2" t="s">
        <v>760</v>
      </c>
      <c r="D216" s="2" t="s">
        <v>48</v>
      </c>
      <c r="E216" s="2" t="s">
        <v>48</v>
      </c>
      <c r="F216" s="3">
        <v>8059344665</v>
      </c>
      <c r="G216" s="4" t="s">
        <v>48</v>
      </c>
      <c r="H216" s="1" t="s">
        <v>34</v>
      </c>
      <c r="I216" s="1">
        <v>676518</v>
      </c>
      <c r="J216" s="1" t="s">
        <v>48</v>
      </c>
      <c r="K216" s="1" t="s">
        <v>35</v>
      </c>
      <c r="M216" s="1" t="s">
        <v>2</v>
      </c>
      <c r="O216" s="1" t="s">
        <v>0</v>
      </c>
      <c r="Q216" s="1" t="s">
        <v>36</v>
      </c>
      <c r="R216" s="1" t="s">
        <v>34</v>
      </c>
      <c r="S216" s="1" t="s">
        <v>34</v>
      </c>
      <c r="T216" s="1" t="s">
        <v>36</v>
      </c>
      <c r="U216" s="1" t="s">
        <v>1213</v>
      </c>
      <c r="V216" s="1" t="s">
        <v>1210</v>
      </c>
      <c r="W216" s="1" t="s">
        <v>1213</v>
      </c>
      <c r="X216" s="1" t="s">
        <v>761</v>
      </c>
    </row>
    <row r="217" spans="1:24" ht="50.1" customHeight="1" x14ac:dyDescent="0.25">
      <c r="A217" s="1" t="s">
        <v>1055</v>
      </c>
      <c r="B217" s="5" t="s">
        <v>1406</v>
      </c>
      <c r="C217" s="2" t="s">
        <v>1057</v>
      </c>
      <c r="D217" s="2" t="s">
        <v>48</v>
      </c>
      <c r="E217" s="2" t="s">
        <v>48</v>
      </c>
      <c r="F217" s="3">
        <v>7074693870</v>
      </c>
      <c r="G217" s="4">
        <v>9095220218</v>
      </c>
      <c r="H217" s="1" t="s">
        <v>34</v>
      </c>
      <c r="I217" s="1">
        <v>1015070</v>
      </c>
      <c r="J217" s="1" t="s">
        <v>48</v>
      </c>
      <c r="L217" s="1" t="s">
        <v>44</v>
      </c>
      <c r="N217" s="1" t="s">
        <v>3</v>
      </c>
      <c r="P217" s="1" t="s">
        <v>1</v>
      </c>
      <c r="Q217" s="1" t="s">
        <v>36</v>
      </c>
      <c r="R217" s="1" t="s">
        <v>36</v>
      </c>
      <c r="S217" s="1" t="s">
        <v>34</v>
      </c>
      <c r="T217" s="1" t="s">
        <v>34</v>
      </c>
      <c r="U217" s="1" t="s">
        <v>980</v>
      </c>
      <c r="V217" s="1" t="s">
        <v>34</v>
      </c>
      <c r="W217" s="1" t="s">
        <v>63</v>
      </c>
      <c r="X217" s="1" t="s">
        <v>1213</v>
      </c>
    </row>
    <row r="218" spans="1:24" ht="50.1" customHeight="1" x14ac:dyDescent="0.25">
      <c r="A218" s="1" t="s">
        <v>77</v>
      </c>
      <c r="B218" s="5" t="s">
        <v>1407</v>
      </c>
      <c r="C218" s="2" t="s">
        <v>79</v>
      </c>
      <c r="D218" s="2" t="s">
        <v>48</v>
      </c>
      <c r="E218" s="2" t="s">
        <v>48</v>
      </c>
      <c r="F218" s="3">
        <v>7148309590</v>
      </c>
      <c r="G218" s="4" t="s">
        <v>48</v>
      </c>
      <c r="H218" s="1" t="s">
        <v>34</v>
      </c>
      <c r="I218" s="1">
        <v>999745</v>
      </c>
      <c r="J218" s="1" t="s">
        <v>48</v>
      </c>
      <c r="K218" s="1" t="s">
        <v>35</v>
      </c>
      <c r="L218" s="1" t="s">
        <v>961</v>
      </c>
      <c r="M218" s="1" t="s">
        <v>2</v>
      </c>
      <c r="N218" s="1" t="s">
        <v>3</v>
      </c>
      <c r="O218" s="1" t="s">
        <v>0</v>
      </c>
      <c r="P218" s="1" t="s">
        <v>1</v>
      </c>
      <c r="Q218" s="1" t="s">
        <v>36</v>
      </c>
      <c r="R218" s="1" t="s">
        <v>34</v>
      </c>
      <c r="S218" s="1" t="s">
        <v>34</v>
      </c>
      <c r="T218" s="1" t="s">
        <v>36</v>
      </c>
      <c r="U218" s="1" t="s">
        <v>1213</v>
      </c>
      <c r="V218" s="1" t="s">
        <v>1210</v>
      </c>
      <c r="W218" s="1" t="s">
        <v>1213</v>
      </c>
      <c r="X218" s="1" t="s">
        <v>1213</v>
      </c>
    </row>
    <row r="219" spans="1:24" ht="50.1" customHeight="1" x14ac:dyDescent="0.25">
      <c r="A219" s="1" t="s">
        <v>444</v>
      </c>
      <c r="B219" s="5" t="s">
        <v>445</v>
      </c>
      <c r="C219" s="2" t="s">
        <v>446</v>
      </c>
      <c r="D219" s="2" t="s">
        <v>48</v>
      </c>
      <c r="E219" s="2" t="s">
        <v>48</v>
      </c>
      <c r="F219" s="3">
        <v>6268510008</v>
      </c>
      <c r="G219" s="4" t="s">
        <v>48</v>
      </c>
      <c r="H219" s="1" t="s">
        <v>34</v>
      </c>
      <c r="I219" s="1">
        <v>935910</v>
      </c>
      <c r="J219" s="1" t="s">
        <v>48</v>
      </c>
      <c r="K219" s="1" t="s">
        <v>35</v>
      </c>
      <c r="L219" s="1" t="s">
        <v>961</v>
      </c>
      <c r="M219" s="1" t="s">
        <v>2</v>
      </c>
      <c r="N219" s="1" t="s">
        <v>3</v>
      </c>
      <c r="O219" s="1" t="s">
        <v>0</v>
      </c>
      <c r="Q219" s="1" t="s">
        <v>34</v>
      </c>
      <c r="R219" s="1" t="s">
        <v>34</v>
      </c>
      <c r="S219" s="1" t="s">
        <v>34</v>
      </c>
      <c r="T219" s="1" t="s">
        <v>34</v>
      </c>
      <c r="U219" s="1" t="s">
        <v>447</v>
      </c>
      <c r="V219" s="1" t="s">
        <v>34</v>
      </c>
      <c r="W219" s="1" t="s">
        <v>1059</v>
      </c>
      <c r="X219" s="1" t="s">
        <v>1058</v>
      </c>
    </row>
    <row r="220" spans="1:24" ht="50.1" customHeight="1" x14ac:dyDescent="0.25">
      <c r="A220" s="1" t="s">
        <v>887</v>
      </c>
      <c r="B220" s="5" t="s">
        <v>679</v>
      </c>
      <c r="C220" s="2" t="s">
        <v>680</v>
      </c>
      <c r="D220" s="2" t="s">
        <v>48</v>
      </c>
      <c r="E220" s="2" t="s">
        <v>48</v>
      </c>
      <c r="F220" s="3">
        <v>3238963247</v>
      </c>
      <c r="G220" s="4" t="s">
        <v>48</v>
      </c>
      <c r="H220" s="1" t="s">
        <v>34</v>
      </c>
      <c r="I220" s="1">
        <v>1028012</v>
      </c>
      <c r="J220" s="1" t="s">
        <v>48</v>
      </c>
      <c r="K220" s="1" t="s">
        <v>35</v>
      </c>
      <c r="L220" s="1" t="s">
        <v>961</v>
      </c>
      <c r="M220" s="1" t="s">
        <v>2</v>
      </c>
      <c r="O220" s="1" t="s">
        <v>0</v>
      </c>
      <c r="P220" s="1" t="s">
        <v>1</v>
      </c>
      <c r="Q220" s="1" t="s">
        <v>36</v>
      </c>
      <c r="R220" s="1" t="s">
        <v>36</v>
      </c>
      <c r="S220" s="1" t="s">
        <v>34</v>
      </c>
      <c r="T220" s="1" t="s">
        <v>34</v>
      </c>
      <c r="U220" s="1" t="s">
        <v>681</v>
      </c>
      <c r="V220" s="1" t="s">
        <v>34</v>
      </c>
      <c r="W220" s="1" t="s">
        <v>682</v>
      </c>
      <c r="X220" s="1" t="s">
        <v>1099</v>
      </c>
    </row>
    <row r="221" spans="1:24" ht="50.1" customHeight="1" x14ac:dyDescent="0.25">
      <c r="A221" s="1" t="s">
        <v>572</v>
      </c>
      <c r="B221" s="5" t="s">
        <v>573</v>
      </c>
      <c r="C221" s="2" t="s">
        <v>574</v>
      </c>
      <c r="D221" s="2" t="s">
        <v>48</v>
      </c>
      <c r="E221" s="2" t="s">
        <v>48</v>
      </c>
      <c r="F221" s="3">
        <v>8007015022</v>
      </c>
      <c r="G221" s="4" t="s">
        <v>48</v>
      </c>
      <c r="H221" s="1" t="s">
        <v>34</v>
      </c>
      <c r="I221" s="1">
        <v>971708</v>
      </c>
      <c r="J221" s="1" t="s">
        <v>48</v>
      </c>
      <c r="K221" s="1" t="s">
        <v>35</v>
      </c>
      <c r="M221" s="1" t="s">
        <v>2</v>
      </c>
      <c r="O221" s="1" t="s">
        <v>0</v>
      </c>
      <c r="Q221" s="1" t="s">
        <v>34</v>
      </c>
      <c r="R221" s="1" t="s">
        <v>34</v>
      </c>
      <c r="S221" s="1" t="s">
        <v>34</v>
      </c>
      <c r="T221" s="1" t="s">
        <v>36</v>
      </c>
      <c r="U221" s="1" t="s">
        <v>1213</v>
      </c>
      <c r="V221" s="1" t="s">
        <v>1210</v>
      </c>
      <c r="W221" s="1" t="s">
        <v>1213</v>
      </c>
      <c r="X221" s="1" t="s">
        <v>1213</v>
      </c>
    </row>
    <row r="222" spans="1:24" ht="50.1" customHeight="1" x14ac:dyDescent="0.25">
      <c r="A222" s="1" t="s">
        <v>523</v>
      </c>
      <c r="B222" s="5" t="s">
        <v>524</v>
      </c>
      <c r="C222" s="2" t="s">
        <v>525</v>
      </c>
      <c r="D222" s="2" t="s">
        <v>48</v>
      </c>
      <c r="E222" s="2" t="s">
        <v>48</v>
      </c>
      <c r="F222" s="3">
        <v>8667866682</v>
      </c>
      <c r="G222" s="4" t="s">
        <v>48</v>
      </c>
      <c r="H222" s="1" t="s">
        <v>34</v>
      </c>
      <c r="I222" s="1">
        <v>1003498</v>
      </c>
      <c r="J222" s="1" t="s">
        <v>48</v>
      </c>
      <c r="L222" s="1" t="s">
        <v>44</v>
      </c>
      <c r="O222" s="1" t="s">
        <v>0</v>
      </c>
      <c r="Q222" s="1" t="s">
        <v>34</v>
      </c>
      <c r="R222" s="1" t="s">
        <v>34</v>
      </c>
      <c r="S222" s="1" t="s">
        <v>34</v>
      </c>
      <c r="T222" s="1" t="s">
        <v>36</v>
      </c>
      <c r="U222" s="1" t="s">
        <v>1213</v>
      </c>
      <c r="V222" s="1" t="s">
        <v>1210</v>
      </c>
      <c r="W222" s="1" t="s">
        <v>1213</v>
      </c>
      <c r="X222" s="1" t="s">
        <v>1213</v>
      </c>
    </row>
    <row r="223" spans="1:24" ht="50.1" customHeight="1" x14ac:dyDescent="0.25">
      <c r="A223" s="1" t="s">
        <v>56</v>
      </c>
      <c r="B223" s="5" t="s">
        <v>962</v>
      </c>
      <c r="C223" s="2" t="s">
        <v>57</v>
      </c>
      <c r="D223" s="2" t="s">
        <v>48</v>
      </c>
      <c r="E223" s="2" t="s">
        <v>48</v>
      </c>
      <c r="F223" s="3">
        <v>8444478666</v>
      </c>
      <c r="G223" s="4" t="s">
        <v>48</v>
      </c>
      <c r="H223" s="1" t="s">
        <v>34</v>
      </c>
      <c r="I223" s="1">
        <v>1055525</v>
      </c>
      <c r="J223" s="1" t="s">
        <v>48</v>
      </c>
      <c r="K223" s="1" t="s">
        <v>35</v>
      </c>
      <c r="L223" s="1" t="s">
        <v>961</v>
      </c>
      <c r="M223" s="1" t="s">
        <v>2</v>
      </c>
      <c r="N223" s="1" t="s">
        <v>3</v>
      </c>
      <c r="O223" s="1" t="s">
        <v>0</v>
      </c>
      <c r="P223" s="1" t="s">
        <v>1</v>
      </c>
      <c r="Q223" s="1" t="s">
        <v>34</v>
      </c>
      <c r="R223" s="1" t="s">
        <v>36</v>
      </c>
      <c r="S223" s="1" t="s">
        <v>34</v>
      </c>
      <c r="T223" s="1" t="s">
        <v>34</v>
      </c>
      <c r="U223" s="1" t="s">
        <v>58</v>
      </c>
      <c r="V223" s="1" t="s">
        <v>1210</v>
      </c>
      <c r="W223" s="1" t="s">
        <v>1213</v>
      </c>
      <c r="X223" s="1" t="s">
        <v>59</v>
      </c>
    </row>
    <row r="224" spans="1:24" ht="50.1" customHeight="1" x14ac:dyDescent="0.25">
      <c r="A224" s="1" t="s">
        <v>1303</v>
      </c>
      <c r="B224" s="5" t="s">
        <v>1408</v>
      </c>
      <c r="C224" s="2" t="s">
        <v>607</v>
      </c>
      <c r="D224" s="2" t="s">
        <v>48</v>
      </c>
      <c r="E224" s="2" t="s">
        <v>48</v>
      </c>
      <c r="F224" s="3">
        <v>8554665332</v>
      </c>
      <c r="G224" s="4" t="s">
        <v>48</v>
      </c>
      <c r="H224" s="1" t="s">
        <v>34</v>
      </c>
      <c r="I224" s="1">
        <v>949707</v>
      </c>
      <c r="J224" s="1" t="s">
        <v>48</v>
      </c>
      <c r="K224" s="1" t="s">
        <v>35</v>
      </c>
      <c r="O224" s="1" t="s">
        <v>0</v>
      </c>
      <c r="Q224" s="1" t="s">
        <v>34</v>
      </c>
      <c r="R224" s="1" t="s">
        <v>36</v>
      </c>
      <c r="S224" s="1" t="s">
        <v>36</v>
      </c>
      <c r="T224" s="1" t="s">
        <v>34</v>
      </c>
      <c r="U224" s="1" t="s">
        <v>1213</v>
      </c>
      <c r="V224" s="1" t="s">
        <v>1210</v>
      </c>
      <c r="W224" s="1" t="s">
        <v>1213</v>
      </c>
      <c r="X224" s="1" t="s">
        <v>1213</v>
      </c>
    </row>
    <row r="225" spans="1:24" ht="50.1" customHeight="1" x14ac:dyDescent="0.25">
      <c r="A225" s="1" t="s">
        <v>1302</v>
      </c>
      <c r="B225" s="5" t="s">
        <v>577</v>
      </c>
      <c r="C225" s="2" t="s">
        <v>578</v>
      </c>
      <c r="D225" s="2" t="s">
        <v>48</v>
      </c>
      <c r="E225" s="2" t="s">
        <v>48</v>
      </c>
      <c r="F225" s="3">
        <v>5592750222</v>
      </c>
      <c r="G225" s="4" t="s">
        <v>48</v>
      </c>
      <c r="H225" s="1" t="s">
        <v>34</v>
      </c>
      <c r="I225" s="1">
        <v>716208</v>
      </c>
      <c r="J225" s="1" t="s">
        <v>48</v>
      </c>
      <c r="K225" s="1" t="s">
        <v>35</v>
      </c>
      <c r="L225" s="1" t="s">
        <v>961</v>
      </c>
      <c r="M225" s="1" t="s">
        <v>2</v>
      </c>
      <c r="N225" s="1" t="s">
        <v>3</v>
      </c>
      <c r="O225" s="1" t="s">
        <v>0</v>
      </c>
      <c r="P225" s="1" t="s">
        <v>1</v>
      </c>
      <c r="Q225" s="1" t="s">
        <v>1210</v>
      </c>
      <c r="R225" s="1" t="s">
        <v>1210</v>
      </c>
      <c r="S225" s="1" t="s">
        <v>1210</v>
      </c>
      <c r="T225" s="1" t="s">
        <v>36</v>
      </c>
      <c r="U225" s="1" t="s">
        <v>1213</v>
      </c>
      <c r="V225" s="1" t="s">
        <v>1210</v>
      </c>
      <c r="W225" s="1" t="s">
        <v>1213</v>
      </c>
      <c r="X225" s="1" t="s">
        <v>1213</v>
      </c>
    </row>
    <row r="226" spans="1:24" ht="50.1" customHeight="1" x14ac:dyDescent="0.25">
      <c r="A226" s="1" t="s">
        <v>195</v>
      </c>
      <c r="B226" s="5" t="s">
        <v>196</v>
      </c>
      <c r="C226" s="2" t="s">
        <v>197</v>
      </c>
      <c r="D226" s="2" t="s">
        <v>48</v>
      </c>
      <c r="E226" s="2" t="s">
        <v>48</v>
      </c>
      <c r="F226" s="3">
        <v>5105400550</v>
      </c>
      <c r="G226" s="4" t="s">
        <v>48</v>
      </c>
      <c r="H226" s="1" t="s">
        <v>34</v>
      </c>
      <c r="I226" s="1">
        <v>890895</v>
      </c>
      <c r="J226" s="1" t="s">
        <v>48</v>
      </c>
      <c r="K226" s="1" t="s">
        <v>35</v>
      </c>
      <c r="L226" s="1" t="s">
        <v>961</v>
      </c>
      <c r="M226" s="1" t="s">
        <v>2</v>
      </c>
      <c r="N226" s="1" t="s">
        <v>3</v>
      </c>
      <c r="O226" s="1" t="s">
        <v>0</v>
      </c>
      <c r="P226" s="1" t="s">
        <v>1</v>
      </c>
      <c r="Q226" s="1" t="s">
        <v>34</v>
      </c>
      <c r="R226" s="1" t="s">
        <v>34</v>
      </c>
      <c r="S226" s="1" t="s">
        <v>34</v>
      </c>
      <c r="T226" s="1" t="s">
        <v>34</v>
      </c>
      <c r="U226" s="1" t="s">
        <v>981</v>
      </c>
      <c r="V226" s="1" t="s">
        <v>34</v>
      </c>
      <c r="W226" s="1" t="s">
        <v>1060</v>
      </c>
      <c r="X226" s="1" t="s">
        <v>198</v>
      </c>
    </row>
    <row r="227" spans="1:24" ht="50.1" customHeight="1" x14ac:dyDescent="0.25">
      <c r="A227" s="1" t="s">
        <v>1234</v>
      </c>
      <c r="B227" s="5" t="s">
        <v>1235</v>
      </c>
      <c r="C227" s="2" t="s">
        <v>457</v>
      </c>
      <c r="D227" s="2" t="s">
        <v>48</v>
      </c>
      <c r="E227" s="2" t="s">
        <v>48</v>
      </c>
      <c r="F227" s="3">
        <v>8554786786</v>
      </c>
      <c r="G227" s="4" t="s">
        <v>48</v>
      </c>
      <c r="H227" s="1" t="s">
        <v>34</v>
      </c>
      <c r="I227" s="1">
        <v>750184</v>
      </c>
      <c r="J227" s="1" t="s">
        <v>48</v>
      </c>
      <c r="L227" s="1" t="s">
        <v>44</v>
      </c>
      <c r="O227" s="1" t="s">
        <v>0</v>
      </c>
      <c r="Q227" s="1" t="s">
        <v>1210</v>
      </c>
      <c r="R227" s="1" t="s">
        <v>1210</v>
      </c>
      <c r="S227" s="1" t="s">
        <v>1210</v>
      </c>
      <c r="T227" s="1" t="s">
        <v>34</v>
      </c>
      <c r="U227" s="1" t="s">
        <v>1213</v>
      </c>
      <c r="V227" s="1" t="s">
        <v>1210</v>
      </c>
      <c r="W227" s="1" t="s">
        <v>1213</v>
      </c>
      <c r="X227" s="1" t="s">
        <v>1213</v>
      </c>
    </row>
    <row r="228" spans="1:24" ht="50.1" customHeight="1" x14ac:dyDescent="0.25">
      <c r="A228" s="1" t="s">
        <v>183</v>
      </c>
      <c r="B228" s="5" t="s">
        <v>1409</v>
      </c>
      <c r="C228" s="2" t="s">
        <v>185</v>
      </c>
      <c r="D228" s="2" t="s">
        <v>732</v>
      </c>
      <c r="E228" s="2" t="s">
        <v>48</v>
      </c>
      <c r="F228" s="3">
        <v>5307867867</v>
      </c>
      <c r="G228" s="4" t="s">
        <v>48</v>
      </c>
      <c r="H228" s="1" t="s">
        <v>34</v>
      </c>
      <c r="I228" s="1">
        <v>1043956</v>
      </c>
      <c r="J228" s="1" t="s">
        <v>48</v>
      </c>
      <c r="K228" s="1" t="s">
        <v>35</v>
      </c>
      <c r="L228" s="1" t="s">
        <v>961</v>
      </c>
      <c r="M228" s="1" t="s">
        <v>2</v>
      </c>
      <c r="N228" s="1" t="s">
        <v>3</v>
      </c>
      <c r="O228" s="1" t="s">
        <v>0</v>
      </c>
      <c r="P228" s="1" t="s">
        <v>1</v>
      </c>
      <c r="Q228" s="1" t="s">
        <v>34</v>
      </c>
      <c r="R228" s="1" t="s">
        <v>34</v>
      </c>
      <c r="S228" s="1" t="s">
        <v>34</v>
      </c>
      <c r="T228" s="1" t="s">
        <v>34</v>
      </c>
      <c r="U228" s="1" t="s">
        <v>186</v>
      </c>
      <c r="V228" s="1" t="s">
        <v>1210</v>
      </c>
      <c r="W228" s="1" t="s">
        <v>1222</v>
      </c>
      <c r="X228" s="1" t="s">
        <v>1223</v>
      </c>
    </row>
    <row r="229" spans="1:24" ht="50.1" customHeight="1" x14ac:dyDescent="0.25">
      <c r="A229" s="1" t="s">
        <v>370</v>
      </c>
      <c r="B229" s="5" t="s">
        <v>1410</v>
      </c>
      <c r="C229" s="2" t="s">
        <v>371</v>
      </c>
      <c r="D229" s="2" t="s">
        <v>48</v>
      </c>
      <c r="E229" s="2" t="s">
        <v>48</v>
      </c>
      <c r="F229" s="3">
        <v>9494505846</v>
      </c>
      <c r="G229" s="4" t="s">
        <v>48</v>
      </c>
      <c r="H229" s="1" t="s">
        <v>34</v>
      </c>
      <c r="I229" s="1">
        <v>1001133</v>
      </c>
      <c r="J229" s="1" t="s">
        <v>48</v>
      </c>
      <c r="K229" s="1" t="s">
        <v>35</v>
      </c>
      <c r="L229" s="1" t="s">
        <v>961</v>
      </c>
      <c r="M229" s="1" t="s">
        <v>2</v>
      </c>
      <c r="N229" s="1" t="s">
        <v>3</v>
      </c>
      <c r="O229" s="1" t="s">
        <v>0</v>
      </c>
      <c r="P229" s="1" t="s">
        <v>1</v>
      </c>
      <c r="Q229" s="1" t="s">
        <v>34</v>
      </c>
      <c r="R229" s="1" t="s">
        <v>36</v>
      </c>
      <c r="S229" s="1" t="s">
        <v>34</v>
      </c>
      <c r="T229" s="1" t="s">
        <v>34</v>
      </c>
      <c r="U229" s="1" t="s">
        <v>372</v>
      </c>
      <c r="V229" s="1" t="s">
        <v>1210</v>
      </c>
      <c r="W229" s="1" t="s">
        <v>1213</v>
      </c>
      <c r="X229" s="1" t="s">
        <v>373</v>
      </c>
    </row>
    <row r="230" spans="1:24" ht="50.1" customHeight="1" x14ac:dyDescent="0.25">
      <c r="A230" s="1" t="s">
        <v>913</v>
      </c>
      <c r="B230" s="5" t="s">
        <v>912</v>
      </c>
      <c r="C230" s="2" t="s">
        <v>750</v>
      </c>
      <c r="D230" s="2" t="s">
        <v>48</v>
      </c>
      <c r="E230" s="2" t="s">
        <v>48</v>
      </c>
      <c r="F230" s="3">
        <v>7076231464</v>
      </c>
      <c r="G230" s="4" t="s">
        <v>48</v>
      </c>
      <c r="H230" s="1" t="s">
        <v>34</v>
      </c>
      <c r="I230" s="1">
        <v>338647</v>
      </c>
      <c r="J230" s="1" t="s">
        <v>48</v>
      </c>
      <c r="K230" s="1" t="s">
        <v>35</v>
      </c>
      <c r="L230" s="1" t="s">
        <v>961</v>
      </c>
      <c r="M230" s="1" t="s">
        <v>2</v>
      </c>
      <c r="N230" s="1" t="s">
        <v>3</v>
      </c>
      <c r="O230" s="1" t="s">
        <v>0</v>
      </c>
      <c r="P230" s="1" t="s">
        <v>1</v>
      </c>
      <c r="Q230" s="1" t="s">
        <v>34</v>
      </c>
      <c r="R230" s="1" t="s">
        <v>36</v>
      </c>
      <c r="S230" s="1" t="s">
        <v>36</v>
      </c>
      <c r="T230" s="1" t="s">
        <v>36</v>
      </c>
      <c r="U230" s="1" t="s">
        <v>1213</v>
      </c>
      <c r="V230" s="1" t="s">
        <v>1210</v>
      </c>
      <c r="W230" s="1" t="s">
        <v>1213</v>
      </c>
      <c r="X230" s="1" t="s">
        <v>1062</v>
      </c>
    </row>
    <row r="231" spans="1:24" ht="50.1" customHeight="1" x14ac:dyDescent="0.25">
      <c r="A231" s="1" t="s">
        <v>163</v>
      </c>
      <c r="B231" s="5" t="s">
        <v>164</v>
      </c>
      <c r="C231" s="2" t="s">
        <v>165</v>
      </c>
      <c r="D231" s="2" t="s">
        <v>48</v>
      </c>
      <c r="E231" s="2" t="s">
        <v>48</v>
      </c>
      <c r="F231" s="3">
        <v>4158836800</v>
      </c>
      <c r="G231" s="4" t="s">
        <v>48</v>
      </c>
      <c r="H231" s="1" t="s">
        <v>34</v>
      </c>
      <c r="I231" s="1">
        <v>940158</v>
      </c>
      <c r="J231" s="1" t="s">
        <v>48</v>
      </c>
      <c r="K231" s="1" t="s">
        <v>35</v>
      </c>
      <c r="L231" s="1" t="s">
        <v>961</v>
      </c>
      <c r="M231" s="1" t="s">
        <v>2</v>
      </c>
      <c r="N231" s="1" t="s">
        <v>3</v>
      </c>
      <c r="O231" s="1" t="s">
        <v>0</v>
      </c>
      <c r="Q231" s="1" t="s">
        <v>34</v>
      </c>
      <c r="R231" s="1" t="s">
        <v>36</v>
      </c>
      <c r="S231" s="1" t="s">
        <v>36</v>
      </c>
      <c r="T231" s="1" t="s">
        <v>36</v>
      </c>
      <c r="U231" s="1" t="s">
        <v>1213</v>
      </c>
      <c r="V231" s="1" t="s">
        <v>1210</v>
      </c>
      <c r="W231" s="1" t="s">
        <v>1213</v>
      </c>
      <c r="X231" s="1" t="s">
        <v>166</v>
      </c>
    </row>
    <row r="232" spans="1:24" ht="50.1" customHeight="1" x14ac:dyDescent="0.25">
      <c r="A232" s="1" t="s">
        <v>877</v>
      </c>
      <c r="B232" s="5" t="s">
        <v>1411</v>
      </c>
      <c r="C232" s="2" t="s">
        <v>649</v>
      </c>
      <c r="D232" s="2" t="s">
        <v>48</v>
      </c>
      <c r="E232" s="2" t="s">
        <v>48</v>
      </c>
      <c r="F232" s="3">
        <v>9164969678</v>
      </c>
      <c r="G232" s="4" t="s">
        <v>48</v>
      </c>
      <c r="H232" s="1" t="s">
        <v>34</v>
      </c>
      <c r="I232" s="1">
        <v>441690</v>
      </c>
      <c r="J232" s="1" t="s">
        <v>48</v>
      </c>
      <c r="K232" s="1" t="s">
        <v>35</v>
      </c>
      <c r="L232" s="1" t="s">
        <v>961</v>
      </c>
      <c r="M232" s="1" t="s">
        <v>2</v>
      </c>
      <c r="N232" s="1" t="s">
        <v>3</v>
      </c>
      <c r="O232" s="1" t="s">
        <v>0</v>
      </c>
      <c r="P232" s="1" t="s">
        <v>1</v>
      </c>
      <c r="Q232" s="1" t="s">
        <v>34</v>
      </c>
      <c r="R232" s="1" t="s">
        <v>34</v>
      </c>
      <c r="S232" s="1" t="s">
        <v>34</v>
      </c>
      <c r="T232" s="1" t="s">
        <v>34</v>
      </c>
      <c r="U232" s="1" t="s">
        <v>982</v>
      </c>
      <c r="V232" s="1" t="s">
        <v>34</v>
      </c>
      <c r="W232" s="1" t="s">
        <v>651</v>
      </c>
      <c r="X232" s="1" t="s">
        <v>650</v>
      </c>
    </row>
    <row r="233" spans="1:24" ht="50.1" customHeight="1" x14ac:dyDescent="0.25">
      <c r="A233" s="1" t="s">
        <v>49</v>
      </c>
      <c r="B233" s="5" t="s">
        <v>1412</v>
      </c>
      <c r="C233" s="2" t="s">
        <v>483</v>
      </c>
      <c r="D233" s="2" t="s">
        <v>51</v>
      </c>
      <c r="E233" s="2" t="s">
        <v>48</v>
      </c>
      <c r="F233" s="3">
        <v>5302734422</v>
      </c>
      <c r="G233" s="4" t="s">
        <v>48</v>
      </c>
      <c r="H233" s="1" t="s">
        <v>34</v>
      </c>
      <c r="I233" s="1">
        <v>868816</v>
      </c>
      <c r="J233" s="1" t="s">
        <v>48</v>
      </c>
      <c r="K233" s="1" t="s">
        <v>35</v>
      </c>
      <c r="L233" s="1" t="s">
        <v>961</v>
      </c>
      <c r="M233" s="1" t="s">
        <v>2</v>
      </c>
      <c r="N233" s="1" t="s">
        <v>3</v>
      </c>
      <c r="O233" s="1" t="s">
        <v>0</v>
      </c>
      <c r="Q233" s="1" t="s">
        <v>34</v>
      </c>
      <c r="R233" s="1" t="s">
        <v>34</v>
      </c>
      <c r="S233" s="1" t="s">
        <v>34</v>
      </c>
      <c r="T233" s="1" t="s">
        <v>36</v>
      </c>
      <c r="U233" s="1" t="s">
        <v>1213</v>
      </c>
      <c r="V233" s="1" t="s">
        <v>1210</v>
      </c>
      <c r="W233" s="1" t="s">
        <v>1213</v>
      </c>
      <c r="X233" s="1" t="s">
        <v>1213</v>
      </c>
    </row>
    <row r="234" spans="1:24" ht="50.1" customHeight="1" x14ac:dyDescent="0.25">
      <c r="A234" s="1" t="s">
        <v>544</v>
      </c>
      <c r="B234" s="5" t="s">
        <v>1224</v>
      </c>
      <c r="C234" s="2" t="s">
        <v>545</v>
      </c>
      <c r="D234" s="2" t="s">
        <v>48</v>
      </c>
      <c r="E234" s="2" t="s">
        <v>48</v>
      </c>
      <c r="F234" s="3">
        <v>5105231122</v>
      </c>
      <c r="G234" s="4" t="s">
        <v>48</v>
      </c>
      <c r="H234" s="1" t="s">
        <v>34</v>
      </c>
      <c r="I234" s="1">
        <v>772329</v>
      </c>
      <c r="J234" s="1" t="s">
        <v>48</v>
      </c>
      <c r="K234" s="1" t="s">
        <v>35</v>
      </c>
      <c r="L234" s="1" t="s">
        <v>961</v>
      </c>
      <c r="M234" s="1" t="s">
        <v>2</v>
      </c>
      <c r="O234" s="1" t="s">
        <v>0</v>
      </c>
      <c r="Q234" s="1" t="s">
        <v>34</v>
      </c>
      <c r="R234" s="1" t="s">
        <v>34</v>
      </c>
      <c r="S234" s="1" t="s">
        <v>34</v>
      </c>
      <c r="T234" s="1" t="s">
        <v>34</v>
      </c>
      <c r="U234" s="1" t="s">
        <v>1203</v>
      </c>
      <c r="V234" s="1" t="s">
        <v>34</v>
      </c>
      <c r="W234" s="1" t="s">
        <v>1192</v>
      </c>
      <c r="X234" s="1" t="s">
        <v>1100</v>
      </c>
    </row>
    <row r="235" spans="1:24" ht="50.1" customHeight="1" x14ac:dyDescent="0.25">
      <c r="A235" s="1" t="s">
        <v>952</v>
      </c>
      <c r="B235" s="5" t="s">
        <v>838</v>
      </c>
      <c r="C235" s="2" t="s">
        <v>839</v>
      </c>
      <c r="D235" s="2" t="s">
        <v>48</v>
      </c>
      <c r="E235" s="2" t="s">
        <v>48</v>
      </c>
      <c r="F235" s="3">
        <v>6195376914</v>
      </c>
      <c r="G235" s="4" t="s">
        <v>48</v>
      </c>
      <c r="H235" s="1" t="s">
        <v>34</v>
      </c>
      <c r="I235" s="1">
        <v>992442</v>
      </c>
      <c r="J235" s="1" t="s">
        <v>48</v>
      </c>
      <c r="L235" s="1" t="s">
        <v>44</v>
      </c>
      <c r="N235" s="1" t="s">
        <v>3</v>
      </c>
      <c r="Q235" s="1" t="s">
        <v>34</v>
      </c>
      <c r="R235" s="1" t="s">
        <v>34</v>
      </c>
      <c r="S235" s="1" t="s">
        <v>34</v>
      </c>
      <c r="T235" s="1" t="s">
        <v>36</v>
      </c>
      <c r="U235" s="1" t="s">
        <v>1213</v>
      </c>
      <c r="V235" s="1" t="s">
        <v>1210</v>
      </c>
      <c r="W235" s="1" t="s">
        <v>1213</v>
      </c>
      <c r="X235" s="1" t="s">
        <v>1101</v>
      </c>
    </row>
    <row r="236" spans="1:24" ht="50.1" customHeight="1" x14ac:dyDescent="0.25">
      <c r="A236" s="1" t="s">
        <v>856</v>
      </c>
      <c r="B236" s="5" t="s">
        <v>591</v>
      </c>
      <c r="C236" s="2" t="s">
        <v>592</v>
      </c>
      <c r="D236" s="2" t="s">
        <v>48</v>
      </c>
      <c r="E236" s="2" t="s">
        <v>48</v>
      </c>
      <c r="F236" s="3">
        <v>3103400493</v>
      </c>
      <c r="G236" s="4" t="s">
        <v>48</v>
      </c>
      <c r="H236" s="1" t="s">
        <v>34</v>
      </c>
      <c r="I236" s="1">
        <v>1021183</v>
      </c>
      <c r="J236" s="1" t="s">
        <v>48</v>
      </c>
      <c r="L236" s="1" t="s">
        <v>44</v>
      </c>
      <c r="N236" s="1" t="s">
        <v>3</v>
      </c>
      <c r="Q236" s="1" t="s">
        <v>34</v>
      </c>
      <c r="R236" s="1" t="s">
        <v>34</v>
      </c>
      <c r="S236" s="1" t="s">
        <v>34</v>
      </c>
      <c r="T236" s="1" t="s">
        <v>34</v>
      </c>
      <c r="U236" s="1" t="s">
        <v>1204</v>
      </c>
      <c r="V236" s="1" t="s">
        <v>34</v>
      </c>
      <c r="W236" s="1" t="s">
        <v>1193</v>
      </c>
      <c r="X236" s="1" t="s">
        <v>1102</v>
      </c>
    </row>
    <row r="237" spans="1:24" ht="50.1" customHeight="1" x14ac:dyDescent="0.25">
      <c r="A237" s="1" t="s">
        <v>118</v>
      </c>
      <c r="B237" s="5" t="s">
        <v>1413</v>
      </c>
      <c r="C237" s="2" t="s">
        <v>120</v>
      </c>
      <c r="D237" s="2" t="s">
        <v>48</v>
      </c>
      <c r="E237" s="2" t="s">
        <v>48</v>
      </c>
      <c r="F237" s="3">
        <v>4153428123</v>
      </c>
      <c r="G237" s="4" t="s">
        <v>48</v>
      </c>
      <c r="H237" s="1" t="s">
        <v>34</v>
      </c>
      <c r="I237" s="1">
        <v>835131</v>
      </c>
      <c r="J237" s="1" t="s">
        <v>48</v>
      </c>
      <c r="K237" s="1" t="s">
        <v>35</v>
      </c>
      <c r="M237" s="1" t="s">
        <v>2</v>
      </c>
      <c r="N237" s="1" t="s">
        <v>3</v>
      </c>
      <c r="O237" s="1" t="s">
        <v>0</v>
      </c>
      <c r="P237" s="1" t="s">
        <v>1</v>
      </c>
      <c r="Q237" s="1" t="s">
        <v>34</v>
      </c>
      <c r="R237" s="1" t="s">
        <v>34</v>
      </c>
      <c r="S237" s="1" t="s">
        <v>34</v>
      </c>
      <c r="T237" s="1" t="s">
        <v>36</v>
      </c>
      <c r="U237" s="1" t="s">
        <v>1213</v>
      </c>
      <c r="V237" s="1" t="s">
        <v>34</v>
      </c>
      <c r="W237" s="1" t="s">
        <v>121</v>
      </c>
      <c r="X237" s="1" t="s">
        <v>1103</v>
      </c>
    </row>
    <row r="238" spans="1:24" ht="50.1" customHeight="1" x14ac:dyDescent="0.25">
      <c r="A238" s="1" t="s">
        <v>1227</v>
      </c>
      <c r="B238" s="5" t="s">
        <v>1228</v>
      </c>
      <c r="C238" s="2" t="s">
        <v>689</v>
      </c>
      <c r="D238" s="2" t="s">
        <v>48</v>
      </c>
      <c r="E238" s="2" t="s">
        <v>48</v>
      </c>
      <c r="F238" s="3">
        <v>7605196541</v>
      </c>
      <c r="G238" s="4" t="s">
        <v>48</v>
      </c>
      <c r="H238" s="1" t="s">
        <v>34</v>
      </c>
      <c r="I238" s="1">
        <v>992154</v>
      </c>
      <c r="J238" s="1" t="s">
        <v>48</v>
      </c>
      <c r="K238" s="1" t="s">
        <v>35</v>
      </c>
      <c r="L238" s="1" t="s">
        <v>961</v>
      </c>
      <c r="M238" s="1" t="s">
        <v>2</v>
      </c>
      <c r="N238" s="1" t="s">
        <v>3</v>
      </c>
      <c r="O238" s="1" t="s">
        <v>0</v>
      </c>
      <c r="Q238" s="1" t="s">
        <v>36</v>
      </c>
      <c r="R238" s="1" t="s">
        <v>36</v>
      </c>
      <c r="S238" s="1" t="s">
        <v>36</v>
      </c>
      <c r="T238" s="1" t="s">
        <v>36</v>
      </c>
      <c r="U238" s="1" t="s">
        <v>1213</v>
      </c>
      <c r="V238" s="1" t="s">
        <v>1210</v>
      </c>
      <c r="W238" s="1" t="s">
        <v>1213</v>
      </c>
      <c r="X238" s="1" t="s">
        <v>1069</v>
      </c>
    </row>
    <row r="239" spans="1:24" ht="50.1" customHeight="1" x14ac:dyDescent="0.25">
      <c r="A239" s="1" t="s">
        <v>513</v>
      </c>
      <c r="B239" s="5" t="s">
        <v>514</v>
      </c>
      <c r="C239" s="2" t="s">
        <v>515</v>
      </c>
      <c r="D239" s="2" t="s">
        <v>48</v>
      </c>
      <c r="E239" s="2" t="s">
        <v>48</v>
      </c>
      <c r="F239" s="3">
        <v>8664479637</v>
      </c>
      <c r="G239" s="4" t="s">
        <v>48</v>
      </c>
      <c r="H239" s="1" t="s">
        <v>34</v>
      </c>
      <c r="I239" s="1">
        <v>1025715</v>
      </c>
      <c r="J239" s="1" t="s">
        <v>48</v>
      </c>
      <c r="K239" s="1" t="s">
        <v>35</v>
      </c>
      <c r="L239" s="1" t="s">
        <v>961</v>
      </c>
      <c r="M239" s="1" t="s">
        <v>2</v>
      </c>
      <c r="N239" s="1" t="s">
        <v>3</v>
      </c>
      <c r="O239" s="1" t="s">
        <v>0</v>
      </c>
      <c r="Q239" s="1" t="s">
        <v>34</v>
      </c>
      <c r="R239" s="1" t="s">
        <v>34</v>
      </c>
      <c r="S239" s="1" t="s">
        <v>34</v>
      </c>
      <c r="T239" s="1" t="s">
        <v>34</v>
      </c>
      <c r="U239" s="1" t="s">
        <v>516</v>
      </c>
      <c r="V239" s="1" t="s">
        <v>34</v>
      </c>
      <c r="W239" s="1" t="s">
        <v>518</v>
      </c>
      <c r="X239" s="1" t="s">
        <v>517</v>
      </c>
    </row>
    <row r="240" spans="1:24" ht="50.1" customHeight="1" x14ac:dyDescent="0.25">
      <c r="A240" s="1" t="s">
        <v>408</v>
      </c>
      <c r="B240" s="5" t="s">
        <v>1414</v>
      </c>
      <c r="C240" s="2" t="s">
        <v>410</v>
      </c>
      <c r="D240" s="2" t="s">
        <v>48</v>
      </c>
      <c r="E240" s="2" t="s">
        <v>48</v>
      </c>
      <c r="F240" s="3">
        <v>7078238003</v>
      </c>
      <c r="G240" s="4" t="s">
        <v>48</v>
      </c>
      <c r="H240" s="1" t="s">
        <v>34</v>
      </c>
      <c r="I240" s="1">
        <v>913951</v>
      </c>
      <c r="J240" s="1" t="s">
        <v>48</v>
      </c>
      <c r="L240" s="1" t="s">
        <v>44</v>
      </c>
      <c r="N240" s="1" t="s">
        <v>3</v>
      </c>
      <c r="Q240" s="1" t="s">
        <v>34</v>
      </c>
      <c r="R240" s="1" t="s">
        <v>34</v>
      </c>
      <c r="S240" s="1" t="s">
        <v>34</v>
      </c>
      <c r="T240" s="1" t="s">
        <v>36</v>
      </c>
      <c r="U240" s="1" t="s">
        <v>1213</v>
      </c>
      <c r="V240" s="1" t="s">
        <v>34</v>
      </c>
      <c r="W240" s="1" t="s">
        <v>412</v>
      </c>
      <c r="X240" s="1" t="s">
        <v>411</v>
      </c>
    </row>
    <row r="241" spans="1:24" ht="50.1" customHeight="1" x14ac:dyDescent="0.25">
      <c r="A241" s="1" t="s">
        <v>436</v>
      </c>
      <c r="B241" s="5" t="s">
        <v>437</v>
      </c>
      <c r="C241" s="2" t="s">
        <v>438</v>
      </c>
      <c r="D241" s="2" t="s">
        <v>48</v>
      </c>
      <c r="E241" s="2" t="s">
        <v>48</v>
      </c>
      <c r="F241" s="3">
        <v>7074946008</v>
      </c>
      <c r="G241" s="4" t="s">
        <v>48</v>
      </c>
      <c r="H241" s="1" t="s">
        <v>34</v>
      </c>
      <c r="I241" s="1">
        <v>975545</v>
      </c>
      <c r="J241" s="1" t="s">
        <v>48</v>
      </c>
      <c r="K241" s="1" t="s">
        <v>35</v>
      </c>
      <c r="O241" s="1" t="s">
        <v>0</v>
      </c>
      <c r="P241" s="1" t="s">
        <v>1</v>
      </c>
      <c r="Q241" s="1" t="s">
        <v>34</v>
      </c>
      <c r="R241" s="1" t="s">
        <v>34</v>
      </c>
      <c r="S241" s="1" t="s">
        <v>36</v>
      </c>
      <c r="T241" s="1" t="s">
        <v>36</v>
      </c>
      <c r="U241" s="1" t="s">
        <v>1213</v>
      </c>
      <c r="V241" s="1" t="s">
        <v>1210</v>
      </c>
      <c r="W241" s="1" t="s">
        <v>1213</v>
      </c>
      <c r="X241" s="1" t="s">
        <v>1104</v>
      </c>
    </row>
    <row r="242" spans="1:24" ht="50.1" customHeight="1" x14ac:dyDescent="0.25">
      <c r="A242" s="1" t="s">
        <v>870</v>
      </c>
      <c r="B242" s="5" t="s">
        <v>633</v>
      </c>
      <c r="C242" s="2" t="s">
        <v>634</v>
      </c>
      <c r="D242" s="2" t="s">
        <v>70</v>
      </c>
      <c r="E242" s="2" t="s">
        <v>48</v>
      </c>
      <c r="F242" s="3">
        <v>8007018073</v>
      </c>
      <c r="G242" s="3">
        <v>3108490200</v>
      </c>
      <c r="H242" s="1" t="s">
        <v>34</v>
      </c>
      <c r="I242" s="1">
        <v>996593</v>
      </c>
      <c r="J242" s="1" t="s">
        <v>48</v>
      </c>
      <c r="K242" s="1" t="s">
        <v>35</v>
      </c>
      <c r="L242" s="1" t="s">
        <v>961</v>
      </c>
      <c r="M242" s="1" t="s">
        <v>2</v>
      </c>
      <c r="N242" s="1" t="s">
        <v>3</v>
      </c>
      <c r="O242" s="1" t="s">
        <v>0</v>
      </c>
      <c r="Q242" s="1" t="s">
        <v>34</v>
      </c>
      <c r="R242" s="1" t="s">
        <v>34</v>
      </c>
      <c r="S242" s="1" t="s">
        <v>34</v>
      </c>
      <c r="T242" s="1" t="s">
        <v>36</v>
      </c>
      <c r="U242" s="1" t="s">
        <v>1213</v>
      </c>
      <c r="V242" s="1" t="s">
        <v>1210</v>
      </c>
      <c r="W242" s="1" t="s">
        <v>1213</v>
      </c>
      <c r="X242" s="1" t="s">
        <v>1213</v>
      </c>
    </row>
    <row r="243" spans="1:24" ht="50.1" customHeight="1" x14ac:dyDescent="0.25">
      <c r="A243" s="1" t="s">
        <v>460</v>
      </c>
      <c r="B243" s="5" t="s">
        <v>1415</v>
      </c>
      <c r="C243" s="2" t="s">
        <v>461</v>
      </c>
      <c r="D243" s="2" t="s">
        <v>48</v>
      </c>
      <c r="E243" s="2" t="s">
        <v>48</v>
      </c>
      <c r="F243" s="3">
        <v>8184810341</v>
      </c>
      <c r="G243" s="4" t="s">
        <v>48</v>
      </c>
      <c r="H243" s="1" t="s">
        <v>34</v>
      </c>
      <c r="I243" s="1">
        <v>1041599</v>
      </c>
      <c r="J243" s="1" t="s">
        <v>48</v>
      </c>
      <c r="K243" s="1" t="s">
        <v>35</v>
      </c>
      <c r="M243" s="1" t="s">
        <v>2</v>
      </c>
      <c r="N243" s="1" t="s">
        <v>3</v>
      </c>
      <c r="O243" s="1" t="s">
        <v>0</v>
      </c>
      <c r="P243" s="1" t="s">
        <v>1</v>
      </c>
      <c r="Q243" s="1" t="s">
        <v>36</v>
      </c>
      <c r="R243" s="1" t="s">
        <v>34</v>
      </c>
      <c r="S243" s="1" t="s">
        <v>34</v>
      </c>
      <c r="T243" s="1" t="s">
        <v>34</v>
      </c>
      <c r="U243" s="1" t="s">
        <v>462</v>
      </c>
      <c r="V243" s="1" t="s">
        <v>34</v>
      </c>
      <c r="W243" s="1" t="s">
        <v>1194</v>
      </c>
      <c r="X243" s="1" t="s">
        <v>1113</v>
      </c>
    </row>
    <row r="244" spans="1:24" ht="50.1" customHeight="1" x14ac:dyDescent="0.25">
      <c r="A244" s="1" t="s">
        <v>937</v>
      </c>
      <c r="B244" s="5" t="s">
        <v>802</v>
      </c>
      <c r="C244" s="2" t="s">
        <v>803</v>
      </c>
      <c r="D244" s="2" t="s">
        <v>48</v>
      </c>
      <c r="E244" s="2" t="s">
        <v>48</v>
      </c>
      <c r="F244" s="3">
        <v>5597610732</v>
      </c>
      <c r="G244" s="4" t="s">
        <v>48</v>
      </c>
      <c r="H244" s="1" t="s">
        <v>34</v>
      </c>
      <c r="I244" s="1">
        <v>853740</v>
      </c>
      <c r="J244" s="1" t="s">
        <v>48</v>
      </c>
      <c r="K244" s="1" t="s">
        <v>35</v>
      </c>
      <c r="L244" s="1" t="s">
        <v>961</v>
      </c>
      <c r="M244" s="1" t="s">
        <v>2</v>
      </c>
      <c r="N244" s="1" t="s">
        <v>3</v>
      </c>
      <c r="O244" s="1" t="s">
        <v>0</v>
      </c>
      <c r="Q244" s="1" t="s">
        <v>34</v>
      </c>
      <c r="R244" s="1" t="s">
        <v>34</v>
      </c>
      <c r="S244" s="1" t="s">
        <v>34</v>
      </c>
      <c r="T244" s="1" t="s">
        <v>34</v>
      </c>
      <c r="U244" s="1" t="s">
        <v>804</v>
      </c>
      <c r="V244" s="1" t="s">
        <v>34</v>
      </c>
      <c r="W244" s="1" t="s">
        <v>1064</v>
      </c>
      <c r="X244" s="1" t="s">
        <v>1063</v>
      </c>
    </row>
    <row r="245" spans="1:24" ht="50.1" customHeight="1" x14ac:dyDescent="0.25">
      <c r="A245" s="1" t="s">
        <v>80</v>
      </c>
      <c r="B245" s="5" t="s">
        <v>81</v>
      </c>
      <c r="C245" s="2" t="s">
        <v>82</v>
      </c>
      <c r="D245" s="2" t="s">
        <v>48</v>
      </c>
      <c r="E245" s="2" t="s">
        <v>48</v>
      </c>
      <c r="F245" s="3">
        <v>4158710395</v>
      </c>
      <c r="G245" s="4" t="s">
        <v>48</v>
      </c>
      <c r="H245" s="1" t="s">
        <v>34</v>
      </c>
      <c r="I245" s="1">
        <v>971231</v>
      </c>
      <c r="J245" s="1" t="s">
        <v>48</v>
      </c>
      <c r="K245" s="1" t="s">
        <v>35</v>
      </c>
      <c r="L245" s="1" t="s">
        <v>961</v>
      </c>
      <c r="O245" s="1" t="s">
        <v>0</v>
      </c>
      <c r="Q245" s="1" t="s">
        <v>34</v>
      </c>
      <c r="R245" s="1" t="s">
        <v>34</v>
      </c>
      <c r="S245" s="1" t="s">
        <v>34</v>
      </c>
      <c r="T245" s="1" t="s">
        <v>36</v>
      </c>
      <c r="U245" s="1" t="s">
        <v>1213</v>
      </c>
      <c r="V245" s="1" t="s">
        <v>34</v>
      </c>
      <c r="W245" s="1" t="s">
        <v>1195</v>
      </c>
      <c r="X245" s="1" t="s">
        <v>1105</v>
      </c>
    </row>
    <row r="246" spans="1:24" ht="50.1" customHeight="1" x14ac:dyDescent="0.25">
      <c r="A246" s="1" t="s">
        <v>175</v>
      </c>
      <c r="B246" s="5" t="s">
        <v>664</v>
      </c>
      <c r="C246" s="2" t="s">
        <v>665</v>
      </c>
      <c r="D246" s="2" t="s">
        <v>176</v>
      </c>
      <c r="E246" s="2" t="s">
        <v>48</v>
      </c>
      <c r="F246" s="3">
        <v>8448376937</v>
      </c>
      <c r="G246" s="4" t="s">
        <v>48</v>
      </c>
      <c r="H246" s="1" t="s">
        <v>34</v>
      </c>
      <c r="I246" s="1">
        <v>1000573</v>
      </c>
      <c r="J246" s="1" t="s">
        <v>48</v>
      </c>
      <c r="K246" s="1" t="s">
        <v>35</v>
      </c>
      <c r="L246" s="1" t="s">
        <v>961</v>
      </c>
      <c r="M246" s="1" t="s">
        <v>2</v>
      </c>
      <c r="N246" s="1" t="s">
        <v>3</v>
      </c>
      <c r="O246" s="1" t="s">
        <v>0</v>
      </c>
      <c r="Q246" s="1" t="s">
        <v>34</v>
      </c>
      <c r="R246" s="1" t="s">
        <v>34</v>
      </c>
      <c r="S246" s="1" t="s">
        <v>34</v>
      </c>
      <c r="T246" s="1" t="s">
        <v>36</v>
      </c>
      <c r="U246" s="1" t="s">
        <v>1213</v>
      </c>
      <c r="V246" s="1" t="s">
        <v>34</v>
      </c>
      <c r="W246" s="1" t="s">
        <v>1065</v>
      </c>
      <c r="X246" s="1" t="s">
        <v>1225</v>
      </c>
    </row>
    <row r="247" spans="1:24" ht="50.1" customHeight="1" x14ac:dyDescent="0.25">
      <c r="A247" s="1" t="s">
        <v>884</v>
      </c>
      <c r="B247" s="5" t="s">
        <v>670</v>
      </c>
      <c r="C247" s="2" t="s">
        <v>671</v>
      </c>
      <c r="D247" s="2" t="s">
        <v>48</v>
      </c>
      <c r="E247" s="2" t="s">
        <v>48</v>
      </c>
      <c r="F247" s="3">
        <v>5592772000</v>
      </c>
      <c r="G247" s="4" t="s">
        <v>48</v>
      </c>
      <c r="H247" s="1" t="s">
        <v>34</v>
      </c>
      <c r="I247" s="1">
        <v>464539</v>
      </c>
      <c r="J247" s="1" t="s">
        <v>48</v>
      </c>
      <c r="L247" s="1" t="s">
        <v>44</v>
      </c>
      <c r="N247" s="1" t="s">
        <v>3</v>
      </c>
      <c r="Q247" s="1" t="s">
        <v>1210</v>
      </c>
      <c r="R247" s="1" t="s">
        <v>1210</v>
      </c>
      <c r="S247" s="1" t="s">
        <v>1210</v>
      </c>
      <c r="T247" s="1" t="s">
        <v>36</v>
      </c>
      <c r="U247" s="1" t="s">
        <v>1213</v>
      </c>
      <c r="V247" s="1" t="s">
        <v>1210</v>
      </c>
      <c r="W247" s="1" t="s">
        <v>1213</v>
      </c>
      <c r="X247" s="1" t="s">
        <v>1213</v>
      </c>
    </row>
    <row r="248" spans="1:24" ht="50.1" customHeight="1" x14ac:dyDescent="0.25">
      <c r="A248" s="1" t="s">
        <v>230</v>
      </c>
      <c r="B248" s="5" t="s">
        <v>1344</v>
      </c>
      <c r="C248" s="2" t="s">
        <v>232</v>
      </c>
      <c r="D248" s="2" t="s">
        <v>48</v>
      </c>
      <c r="E248" s="2" t="s">
        <v>48</v>
      </c>
      <c r="F248" s="3">
        <v>5306363994</v>
      </c>
      <c r="G248" s="4" t="s">
        <v>48</v>
      </c>
      <c r="H248" s="1" t="s">
        <v>34</v>
      </c>
      <c r="I248" s="1">
        <v>1031280</v>
      </c>
      <c r="J248" s="1" t="s">
        <v>48</v>
      </c>
      <c r="K248" s="1" t="s">
        <v>35</v>
      </c>
      <c r="M248" s="1" t="s">
        <v>2</v>
      </c>
      <c r="N248" s="1" t="s">
        <v>3</v>
      </c>
      <c r="O248" s="1" t="s">
        <v>0</v>
      </c>
      <c r="Q248" s="1" t="s">
        <v>34</v>
      </c>
      <c r="R248" s="1" t="s">
        <v>34</v>
      </c>
      <c r="S248" s="1" t="s">
        <v>34</v>
      </c>
      <c r="T248" s="1" t="s">
        <v>36</v>
      </c>
      <c r="U248" s="1" t="s">
        <v>1213</v>
      </c>
      <c r="V248" s="1" t="s">
        <v>34</v>
      </c>
      <c r="W248" s="1" t="s">
        <v>1066</v>
      </c>
      <c r="X248" s="1" t="s">
        <v>233</v>
      </c>
    </row>
    <row r="249" spans="1:24" ht="50.1" customHeight="1" x14ac:dyDescent="0.25">
      <c r="A249" s="1" t="s">
        <v>45</v>
      </c>
      <c r="B249" s="5" t="s">
        <v>46</v>
      </c>
      <c r="C249" s="2" t="s">
        <v>47</v>
      </c>
      <c r="D249" s="2" t="s">
        <v>48</v>
      </c>
      <c r="E249" s="2" t="s">
        <v>48</v>
      </c>
      <c r="F249" s="3">
        <v>8777466609</v>
      </c>
      <c r="G249" s="4" t="s">
        <v>48</v>
      </c>
      <c r="H249" s="1" t="s">
        <v>34</v>
      </c>
      <c r="I249" s="1">
        <v>973756</v>
      </c>
      <c r="J249" s="1" t="s">
        <v>48</v>
      </c>
      <c r="K249" s="1" t="s">
        <v>35</v>
      </c>
      <c r="M249" s="1" t="s">
        <v>2</v>
      </c>
      <c r="O249" s="1" t="s">
        <v>0</v>
      </c>
      <c r="Q249" s="1" t="s">
        <v>34</v>
      </c>
      <c r="R249" s="1" t="s">
        <v>34</v>
      </c>
      <c r="S249" s="1" t="s">
        <v>34</v>
      </c>
      <c r="T249" s="1" t="s">
        <v>36</v>
      </c>
      <c r="U249" s="1" t="s">
        <v>1213</v>
      </c>
      <c r="V249" s="1" t="s">
        <v>1210</v>
      </c>
      <c r="W249" s="1" t="s">
        <v>1213</v>
      </c>
      <c r="X249" s="1" t="s">
        <v>1213</v>
      </c>
    </row>
    <row r="250" spans="1:24" ht="50.1" customHeight="1" x14ac:dyDescent="0.25">
      <c r="A250" s="1" t="s">
        <v>301</v>
      </c>
      <c r="B250" s="5" t="s">
        <v>1345</v>
      </c>
      <c r="C250" s="2" t="s">
        <v>303</v>
      </c>
      <c r="D250" s="2" t="s">
        <v>48</v>
      </c>
      <c r="E250" s="2" t="s">
        <v>48</v>
      </c>
      <c r="F250" s="3">
        <v>7142551316</v>
      </c>
      <c r="G250" s="4" t="s">
        <v>48</v>
      </c>
      <c r="H250" s="1" t="s">
        <v>34</v>
      </c>
      <c r="I250" s="1">
        <v>1062357</v>
      </c>
      <c r="J250" s="1" t="s">
        <v>48</v>
      </c>
      <c r="K250" s="1" t="s">
        <v>35</v>
      </c>
      <c r="L250" s="1" t="s">
        <v>961</v>
      </c>
      <c r="M250" s="1" t="s">
        <v>2</v>
      </c>
      <c r="N250" s="1" t="s">
        <v>3</v>
      </c>
      <c r="O250" s="1" t="s">
        <v>0</v>
      </c>
      <c r="P250" s="1" t="s">
        <v>1</v>
      </c>
      <c r="Q250" s="1" t="s">
        <v>1210</v>
      </c>
      <c r="R250" s="1" t="s">
        <v>1210</v>
      </c>
      <c r="S250" s="1" t="s">
        <v>1210</v>
      </c>
      <c r="T250" s="1" t="s">
        <v>34</v>
      </c>
      <c r="U250" s="1" t="s">
        <v>1213</v>
      </c>
      <c r="V250" s="1" t="s">
        <v>1210</v>
      </c>
      <c r="W250" s="1" t="s">
        <v>1213</v>
      </c>
      <c r="X250" s="1" t="s">
        <v>1213</v>
      </c>
    </row>
    <row r="251" spans="1:24" ht="50.1" customHeight="1" x14ac:dyDescent="0.25">
      <c r="A251" s="1" t="s">
        <v>947</v>
      </c>
      <c r="B251" s="5" t="s">
        <v>1346</v>
      </c>
      <c r="C251" s="2" t="s">
        <v>831</v>
      </c>
      <c r="D251" s="2" t="s">
        <v>48</v>
      </c>
      <c r="E251" s="2" t="s">
        <v>48</v>
      </c>
      <c r="F251" s="3">
        <v>8318180312</v>
      </c>
      <c r="G251" s="4" t="s">
        <v>48</v>
      </c>
      <c r="H251" s="1" t="s">
        <v>34</v>
      </c>
      <c r="I251" s="1">
        <v>955351</v>
      </c>
      <c r="J251" s="1" t="s">
        <v>48</v>
      </c>
      <c r="K251" s="1" t="s">
        <v>35</v>
      </c>
      <c r="M251" s="1" t="s">
        <v>2</v>
      </c>
      <c r="O251" s="1" t="s">
        <v>0</v>
      </c>
      <c r="Q251" s="1" t="s">
        <v>36</v>
      </c>
      <c r="R251" s="1" t="s">
        <v>34</v>
      </c>
      <c r="S251" s="1" t="s">
        <v>34</v>
      </c>
      <c r="T251" s="1" t="s">
        <v>36</v>
      </c>
      <c r="U251" s="1" t="s">
        <v>1213</v>
      </c>
      <c r="V251" s="1" t="s">
        <v>1210</v>
      </c>
      <c r="W251" s="1" t="s">
        <v>1213</v>
      </c>
      <c r="X251" s="1" t="s">
        <v>1213</v>
      </c>
    </row>
    <row r="252" spans="1:24" ht="50.1" customHeight="1" x14ac:dyDescent="0.25">
      <c r="A252" s="1" t="s">
        <v>1226</v>
      </c>
      <c r="B252" s="5" t="s">
        <v>1347</v>
      </c>
      <c r="C252" s="2" t="s">
        <v>347</v>
      </c>
      <c r="D252" s="2" t="s">
        <v>48</v>
      </c>
      <c r="E252" s="2" t="s">
        <v>48</v>
      </c>
      <c r="F252" s="3">
        <v>7074435652</v>
      </c>
      <c r="G252" s="4" t="s">
        <v>48</v>
      </c>
      <c r="H252" s="1" t="s">
        <v>34</v>
      </c>
      <c r="I252" s="1">
        <v>1026026</v>
      </c>
      <c r="J252" s="1" t="s">
        <v>48</v>
      </c>
      <c r="K252" s="1" t="s">
        <v>35</v>
      </c>
      <c r="L252" s="1" t="s">
        <v>961</v>
      </c>
      <c r="M252" s="1" t="s">
        <v>2</v>
      </c>
      <c r="N252" s="1" t="s">
        <v>3</v>
      </c>
      <c r="O252" s="1" t="s">
        <v>0</v>
      </c>
      <c r="Q252" s="1" t="s">
        <v>34</v>
      </c>
      <c r="R252" s="1" t="s">
        <v>34</v>
      </c>
      <c r="S252" s="1" t="s">
        <v>34</v>
      </c>
      <c r="T252" s="1" t="s">
        <v>34</v>
      </c>
      <c r="U252" s="1" t="s">
        <v>348</v>
      </c>
      <c r="V252" s="1" t="s">
        <v>34</v>
      </c>
      <c r="W252" s="1" t="s">
        <v>350</v>
      </c>
      <c r="X252" s="1" t="s">
        <v>349</v>
      </c>
    </row>
    <row r="253" spans="1:24" ht="50.1" customHeight="1" x14ac:dyDescent="0.25">
      <c r="A253" s="1" t="s">
        <v>855</v>
      </c>
      <c r="B253" s="5" t="s">
        <v>1348</v>
      </c>
      <c r="C253" s="2" t="s">
        <v>576</v>
      </c>
      <c r="D253" s="2" t="s">
        <v>48</v>
      </c>
      <c r="E253" s="2" t="s">
        <v>48</v>
      </c>
      <c r="F253" s="3">
        <v>9255163900</v>
      </c>
      <c r="G253" s="4" t="s">
        <v>48</v>
      </c>
      <c r="H253" s="1" t="s">
        <v>34</v>
      </c>
      <c r="I253" s="1">
        <v>908549</v>
      </c>
      <c r="J253" s="1" t="s">
        <v>48</v>
      </c>
      <c r="K253" s="1" t="s">
        <v>35</v>
      </c>
      <c r="L253" s="1" t="s">
        <v>961</v>
      </c>
      <c r="M253" s="1" t="s">
        <v>2</v>
      </c>
      <c r="N253" s="1" t="s">
        <v>3</v>
      </c>
      <c r="O253" s="1" t="s">
        <v>0</v>
      </c>
      <c r="P253" s="1" t="s">
        <v>1</v>
      </c>
      <c r="Q253" s="1" t="s">
        <v>34</v>
      </c>
      <c r="R253" s="1" t="s">
        <v>34</v>
      </c>
      <c r="S253" s="1" t="s">
        <v>36</v>
      </c>
      <c r="T253" s="1" t="s">
        <v>36</v>
      </c>
      <c r="U253" s="1" t="s">
        <v>1213</v>
      </c>
      <c r="V253" s="1" t="s">
        <v>1210</v>
      </c>
      <c r="W253" s="1" t="s">
        <v>1213</v>
      </c>
      <c r="X253" s="1" t="s">
        <v>1213</v>
      </c>
    </row>
    <row r="254" spans="1:24" ht="50.1" customHeight="1" x14ac:dyDescent="0.25">
      <c r="A254" s="1" t="s">
        <v>480</v>
      </c>
      <c r="B254" s="5" t="s">
        <v>481</v>
      </c>
      <c r="C254" s="2" t="s">
        <v>482</v>
      </c>
      <c r="D254" s="2" t="s">
        <v>48</v>
      </c>
      <c r="E254" s="2" t="s">
        <v>48</v>
      </c>
      <c r="F254" s="3">
        <v>7076646450</v>
      </c>
      <c r="G254" s="4" t="s">
        <v>48</v>
      </c>
      <c r="H254" s="1" t="s">
        <v>34</v>
      </c>
      <c r="I254" s="1">
        <v>963158</v>
      </c>
      <c r="J254" s="1" t="s">
        <v>48</v>
      </c>
      <c r="K254" s="1" t="s">
        <v>35</v>
      </c>
      <c r="M254" s="1" t="s">
        <v>2</v>
      </c>
      <c r="O254" s="1" t="s">
        <v>0</v>
      </c>
      <c r="Q254" s="1" t="s">
        <v>34</v>
      </c>
      <c r="R254" s="1" t="s">
        <v>34</v>
      </c>
      <c r="S254" s="1" t="s">
        <v>34</v>
      </c>
      <c r="T254" s="1" t="s">
        <v>36</v>
      </c>
      <c r="U254" s="1" t="s">
        <v>1213</v>
      </c>
      <c r="V254" s="1" t="s">
        <v>1210</v>
      </c>
      <c r="W254" s="1" t="s">
        <v>1213</v>
      </c>
      <c r="X254" s="1" t="s">
        <v>1213</v>
      </c>
    </row>
    <row r="255" spans="1:24" ht="50.1" customHeight="1" x14ac:dyDescent="0.25">
      <c r="A255" s="1" t="s">
        <v>315</v>
      </c>
      <c r="B255" s="5" t="s">
        <v>1349</v>
      </c>
      <c r="C255" s="2" t="s">
        <v>317</v>
      </c>
      <c r="D255" s="2" t="s">
        <v>48</v>
      </c>
      <c r="E255" s="2" t="s">
        <v>48</v>
      </c>
      <c r="F255" s="3">
        <v>8665754112</v>
      </c>
      <c r="G255" s="4" t="s">
        <v>48</v>
      </c>
      <c r="H255" s="1" t="s">
        <v>34</v>
      </c>
      <c r="I255" s="1">
        <v>965111</v>
      </c>
      <c r="J255" s="1" t="s">
        <v>48</v>
      </c>
      <c r="K255" s="1" t="s">
        <v>35</v>
      </c>
      <c r="M255" s="1" t="s">
        <v>2</v>
      </c>
      <c r="N255" s="1" t="s">
        <v>3</v>
      </c>
      <c r="O255" s="1" t="s">
        <v>0</v>
      </c>
      <c r="P255" s="1" t="s">
        <v>1</v>
      </c>
      <c r="Q255" s="1" t="s">
        <v>34</v>
      </c>
      <c r="R255" s="1" t="s">
        <v>34</v>
      </c>
      <c r="S255" s="1" t="s">
        <v>34</v>
      </c>
      <c r="T255" s="1" t="s">
        <v>34</v>
      </c>
      <c r="U255" s="1" t="s">
        <v>1213</v>
      </c>
      <c r="V255" s="1" t="s">
        <v>1210</v>
      </c>
      <c r="W255" s="1" t="s">
        <v>1213</v>
      </c>
      <c r="X255" s="1" t="s">
        <v>1213</v>
      </c>
    </row>
    <row r="256" spans="1:24" ht="50.1" customHeight="1" x14ac:dyDescent="0.25">
      <c r="A256" s="1" t="s">
        <v>927</v>
      </c>
      <c r="B256" s="5" t="s">
        <v>776</v>
      </c>
      <c r="C256" s="2" t="s">
        <v>777</v>
      </c>
      <c r="D256" s="2" t="s">
        <v>48</v>
      </c>
      <c r="E256" s="2" t="s">
        <v>48</v>
      </c>
      <c r="F256" s="3">
        <v>9258723408</v>
      </c>
      <c r="G256" s="4" t="s">
        <v>48</v>
      </c>
      <c r="H256" s="1" t="s">
        <v>34</v>
      </c>
      <c r="I256" s="1">
        <v>915737</v>
      </c>
      <c r="J256" s="1" t="s">
        <v>48</v>
      </c>
      <c r="K256" s="1" t="s">
        <v>35</v>
      </c>
      <c r="L256" s="1" t="s">
        <v>961</v>
      </c>
      <c r="M256" s="1" t="s">
        <v>2</v>
      </c>
      <c r="N256" s="1" t="s">
        <v>3</v>
      </c>
      <c r="O256" s="1" t="s">
        <v>0</v>
      </c>
      <c r="P256" s="1" t="s">
        <v>1</v>
      </c>
      <c r="Q256" s="1" t="s">
        <v>34</v>
      </c>
      <c r="R256" s="1" t="s">
        <v>36</v>
      </c>
      <c r="S256" s="1" t="s">
        <v>34</v>
      </c>
      <c r="T256" s="1" t="s">
        <v>36</v>
      </c>
      <c r="U256" s="1" t="s">
        <v>1213</v>
      </c>
      <c r="V256" s="1" t="s">
        <v>1210</v>
      </c>
      <c r="W256" s="1" t="s">
        <v>1213</v>
      </c>
      <c r="X256" s="1" t="s">
        <v>1196</v>
      </c>
    </row>
    <row r="257" spans="1:24" ht="50.1" customHeight="1" x14ac:dyDescent="0.25">
      <c r="A257" s="1" t="s">
        <v>344</v>
      </c>
      <c r="B257" s="5" t="s">
        <v>611</v>
      </c>
      <c r="C257" s="2" t="s">
        <v>345</v>
      </c>
      <c r="D257" s="2" t="s">
        <v>48</v>
      </c>
      <c r="E257" s="2" t="s">
        <v>48</v>
      </c>
      <c r="F257" s="3">
        <v>3103768740</v>
      </c>
      <c r="G257" s="4" t="s">
        <v>48</v>
      </c>
      <c r="H257" s="1" t="s">
        <v>34</v>
      </c>
      <c r="I257" s="1">
        <v>992157</v>
      </c>
      <c r="J257" s="1" t="s">
        <v>48</v>
      </c>
      <c r="K257" s="1" t="s">
        <v>35</v>
      </c>
      <c r="L257" s="1" t="s">
        <v>44</v>
      </c>
      <c r="M257" s="1" t="s">
        <v>2</v>
      </c>
      <c r="N257" s="1" t="s">
        <v>3</v>
      </c>
      <c r="O257" s="1" t="s">
        <v>0</v>
      </c>
      <c r="P257" s="1" t="s">
        <v>1</v>
      </c>
      <c r="Q257" s="1" t="s">
        <v>36</v>
      </c>
      <c r="R257" s="1" t="s">
        <v>36</v>
      </c>
      <c r="S257" s="1" t="s">
        <v>34</v>
      </c>
      <c r="T257" s="1" t="s">
        <v>34</v>
      </c>
      <c r="U257" s="1" t="s">
        <v>1213</v>
      </c>
      <c r="V257" s="1" t="s">
        <v>1210</v>
      </c>
      <c r="W257" s="1" t="s">
        <v>1213</v>
      </c>
      <c r="X257" s="1" t="s">
        <v>612</v>
      </c>
    </row>
    <row r="258" spans="1:24" ht="50.1" customHeight="1" x14ac:dyDescent="0.25">
      <c r="A258" s="1" t="s">
        <v>902</v>
      </c>
      <c r="B258" s="5" t="s">
        <v>722</v>
      </c>
      <c r="C258" s="2" t="s">
        <v>723</v>
      </c>
      <c r="D258" s="2" t="s">
        <v>48</v>
      </c>
      <c r="E258" s="2" t="s">
        <v>48</v>
      </c>
      <c r="F258" s="3">
        <v>8557977676</v>
      </c>
      <c r="G258" s="4" t="s">
        <v>48</v>
      </c>
      <c r="H258" s="1" t="s">
        <v>34</v>
      </c>
      <c r="I258" s="1">
        <v>1027116</v>
      </c>
      <c r="J258" s="1" t="s">
        <v>48</v>
      </c>
      <c r="L258" s="1" t="s">
        <v>44</v>
      </c>
      <c r="P258" s="1" t="s">
        <v>1</v>
      </c>
      <c r="Q258" s="1" t="s">
        <v>1210</v>
      </c>
      <c r="R258" s="1" t="s">
        <v>1210</v>
      </c>
      <c r="S258" s="1" t="s">
        <v>1210</v>
      </c>
      <c r="T258" s="1" t="s">
        <v>34</v>
      </c>
      <c r="U258" s="1" t="s">
        <v>1213</v>
      </c>
      <c r="V258" s="1" t="s">
        <v>1210</v>
      </c>
      <c r="W258" s="1" t="s">
        <v>1213</v>
      </c>
      <c r="X258" s="1" t="s">
        <v>1213</v>
      </c>
    </row>
    <row r="259" spans="1:24" ht="50.1" customHeight="1" x14ac:dyDescent="0.25">
      <c r="A259" s="1" t="s">
        <v>944</v>
      </c>
      <c r="B259" s="5" t="s">
        <v>1350</v>
      </c>
      <c r="C259" s="2" t="s">
        <v>820</v>
      </c>
      <c r="D259" s="2" t="s">
        <v>48</v>
      </c>
      <c r="E259" s="2" t="s">
        <v>48</v>
      </c>
      <c r="F259" s="3">
        <v>9253809500</v>
      </c>
      <c r="G259" s="4" t="s">
        <v>48</v>
      </c>
      <c r="H259" s="1" t="s">
        <v>34</v>
      </c>
      <c r="I259" s="1">
        <v>928652</v>
      </c>
      <c r="J259" s="1" t="s">
        <v>48</v>
      </c>
      <c r="K259" s="1" t="s">
        <v>35</v>
      </c>
      <c r="M259" s="1" t="s">
        <v>2</v>
      </c>
      <c r="O259" s="1" t="s">
        <v>0</v>
      </c>
      <c r="Q259" s="1" t="s">
        <v>34</v>
      </c>
      <c r="R259" s="1" t="s">
        <v>36</v>
      </c>
      <c r="S259" s="1" t="s">
        <v>34</v>
      </c>
      <c r="T259" s="1" t="s">
        <v>34</v>
      </c>
      <c r="U259" s="1" t="s">
        <v>1197</v>
      </c>
      <c r="V259" s="1" t="s">
        <v>34</v>
      </c>
      <c r="W259" s="1" t="s">
        <v>1206</v>
      </c>
      <c r="X259" s="1" t="s">
        <v>1106</v>
      </c>
    </row>
    <row r="260" spans="1:24" ht="50.1" customHeight="1" x14ac:dyDescent="0.25">
      <c r="A260" s="1" t="s">
        <v>871</v>
      </c>
      <c r="B260" s="5" t="s">
        <v>635</v>
      </c>
      <c r="C260" s="2" t="s">
        <v>636</v>
      </c>
      <c r="D260" s="2" t="s">
        <v>48</v>
      </c>
      <c r="E260" s="2" t="s">
        <v>48</v>
      </c>
      <c r="F260" s="3">
        <v>9168617800</v>
      </c>
      <c r="G260" s="4" t="s">
        <v>48</v>
      </c>
      <c r="H260" s="1" t="s">
        <v>34</v>
      </c>
      <c r="I260" s="1">
        <v>581981</v>
      </c>
      <c r="J260" s="1" t="s">
        <v>48</v>
      </c>
      <c r="K260" s="1" t="s">
        <v>35</v>
      </c>
      <c r="M260" s="1" t="s">
        <v>2</v>
      </c>
      <c r="N260" s="1" t="s">
        <v>3</v>
      </c>
      <c r="O260" s="1" t="s">
        <v>0</v>
      </c>
      <c r="Q260" s="1" t="s">
        <v>36</v>
      </c>
      <c r="R260" s="1" t="s">
        <v>34</v>
      </c>
      <c r="S260" s="1" t="s">
        <v>34</v>
      </c>
      <c r="T260" s="1" t="s">
        <v>34</v>
      </c>
      <c r="U260" s="1" t="s">
        <v>968</v>
      </c>
      <c r="V260" s="1" t="s">
        <v>1210</v>
      </c>
      <c r="W260" s="1" t="s">
        <v>1213</v>
      </c>
      <c r="X260" s="1" t="s">
        <v>1213</v>
      </c>
    </row>
    <row r="261" spans="1:24" ht="50.1" customHeight="1" x14ac:dyDescent="0.25">
      <c r="A261" s="1" t="s">
        <v>885</v>
      </c>
      <c r="B261" s="5" t="s">
        <v>672</v>
      </c>
      <c r="C261" s="2" t="s">
        <v>673</v>
      </c>
      <c r="D261" s="2" t="s">
        <v>48</v>
      </c>
      <c r="E261" s="2" t="s">
        <v>48</v>
      </c>
      <c r="F261" s="3">
        <v>7075443900</v>
      </c>
      <c r="G261" s="4" t="s">
        <v>48</v>
      </c>
      <c r="H261" s="1" t="s">
        <v>34</v>
      </c>
      <c r="I261" s="1">
        <v>820063</v>
      </c>
      <c r="J261" s="1" t="s">
        <v>48</v>
      </c>
      <c r="K261" s="1" t="s">
        <v>35</v>
      </c>
      <c r="L261" s="1" t="s">
        <v>961</v>
      </c>
      <c r="M261" s="1" t="s">
        <v>2</v>
      </c>
      <c r="N261" s="1" t="s">
        <v>3</v>
      </c>
      <c r="O261" s="1" t="s">
        <v>0</v>
      </c>
      <c r="Q261" s="1" t="s">
        <v>34</v>
      </c>
      <c r="R261" s="1" t="s">
        <v>34</v>
      </c>
      <c r="S261" s="1" t="s">
        <v>34</v>
      </c>
      <c r="T261" s="1" t="s">
        <v>36</v>
      </c>
      <c r="U261" s="1" t="s">
        <v>1213</v>
      </c>
      <c r="V261" s="1" t="s">
        <v>34</v>
      </c>
      <c r="W261" s="1" t="s">
        <v>1068</v>
      </c>
      <c r="X261" s="1" t="s">
        <v>1067</v>
      </c>
    </row>
  </sheetData>
  <phoneticPr fontId="5" type="noConversion"/>
  <hyperlinks>
    <hyperlink ref="B117" r:id="rId1" xr:uid="{84FF222A-33DD-48CF-9FCC-DE96A50D436D}"/>
    <hyperlink ref="B189" r:id="rId2" xr:uid="{5383E1CA-2DF8-4D95-9F76-48A8C08B6522}"/>
    <hyperlink ref="B138" r:id="rId3" xr:uid="{8678CC92-A499-4598-A2DA-E51ADEC0DEA8}"/>
    <hyperlink ref="B109" r:id="rId4" xr:uid="{C18D6F61-702F-40E0-88A2-B696D7D29898}"/>
    <hyperlink ref="B230" r:id="rId5" xr:uid="{9219249E-1C53-4469-8106-2892EC917707}"/>
    <hyperlink ref="B67" r:id="rId6" xr:uid="{4AD71C4F-1386-4702-8112-8C8607812278}"/>
    <hyperlink ref="B43" r:id="rId7" xr:uid="{894E5EF6-C306-4D5A-818A-64A79E301298}"/>
    <hyperlink ref="B88" r:id="rId8" xr:uid="{73B4A810-D47D-4799-B336-7FD16463114E}"/>
    <hyperlink ref="B60" r:id="rId9" xr:uid="{8EF710FE-EA52-4988-87EA-3EA4201F4E0E}"/>
    <hyperlink ref="B223" r:id="rId10" xr:uid="{2458FDEB-9E3C-4638-A396-360F0AE3E164}"/>
    <hyperlink ref="B36" r:id="rId11" xr:uid="{DC03AC3F-DE57-42D5-BED5-D07C81FDD5A6}"/>
    <hyperlink ref="B234" r:id="rId12" xr:uid="{02DF01AC-DB8F-45E6-9991-A4CE765A9639}"/>
    <hyperlink ref="B39" r:id="rId13" xr:uid="{B96922D9-15E2-4F50-97E9-01AF7692B3F7}"/>
    <hyperlink ref="B4" r:id="rId14" xr:uid="{75B785FC-102F-49AA-AB44-AC87B644B01A}"/>
    <hyperlink ref="B247" r:id="rId15" xr:uid="{7F9B66BB-B51A-4B02-BD05-8C5A3D2215F7}"/>
    <hyperlink ref="B248" r:id="rId16" xr:uid="{51CDED74-6AC1-4F90-BEAB-A17829294A82}"/>
    <hyperlink ref="B249" r:id="rId17" xr:uid="{2F6CAC5F-226B-4446-8A10-A97D1E7B8866}"/>
    <hyperlink ref="B250" r:id="rId18" xr:uid="{3FB1835F-5984-48D9-9A59-E6B486D8BB99}"/>
    <hyperlink ref="B251" r:id="rId19" xr:uid="{86698648-3B53-4A61-9502-F231A4535A83}"/>
    <hyperlink ref="B252" r:id="rId20" xr:uid="{E46256E3-988D-4578-A0C6-0AE7F785BC2F}"/>
    <hyperlink ref="B253" r:id="rId21" xr:uid="{DD16476A-D7A9-4526-BB99-A82F1147A954}"/>
    <hyperlink ref="B254" r:id="rId22" xr:uid="{437683C7-97F6-4011-BCC1-4DFA87DD43FB}"/>
    <hyperlink ref="B255" r:id="rId23" xr:uid="{98D9D382-72E6-4AA8-B240-0513C43BFA20}"/>
    <hyperlink ref="B256" r:id="rId24" xr:uid="{A08EC932-B745-4F86-B42A-2CB3B7A59C9F}"/>
    <hyperlink ref="B257" r:id="rId25" xr:uid="{FC0A6152-EDD2-47F6-A169-7355F4D3A8B6}"/>
    <hyperlink ref="B258" r:id="rId26" xr:uid="{02472381-DC8F-47AD-AA0A-29BBC029A2C9}"/>
    <hyperlink ref="B259" r:id="rId27" xr:uid="{5ECF744E-9832-40FD-9ACE-1ECDB4080D79}"/>
    <hyperlink ref="B260" r:id="rId28" xr:uid="{2CEA6656-9192-45D9-89FC-D1F93D79647F}"/>
    <hyperlink ref="B261" r:id="rId29" xr:uid="{14A4A194-B704-4132-AD5F-B82423D6E45C}"/>
    <hyperlink ref="B2" r:id="rId30" xr:uid="{B7E41260-8827-4127-ACB9-CD25044FB95C}"/>
    <hyperlink ref="B3" r:id="rId31" xr:uid="{5BD07C89-A2A8-4BE6-A819-4963131D940B}"/>
    <hyperlink ref="B5" r:id="rId32" xr:uid="{9E068013-0101-415E-8E37-0CC6E26763E5}"/>
    <hyperlink ref="B6" r:id="rId33" xr:uid="{5BAAACE1-E5B1-4FCD-8AE9-351DAC7A2434}"/>
    <hyperlink ref="B7" r:id="rId34" xr:uid="{5F0B90DC-0E7A-41E3-A0DF-8F5C2A68BD12}"/>
    <hyperlink ref="B8" r:id="rId35" xr:uid="{5B7800E5-8D15-4741-9002-88D1F9B553DD}"/>
    <hyperlink ref="B9" r:id="rId36" xr:uid="{CA06F1E6-6C5F-4EFA-AA44-98936514D51C}"/>
    <hyperlink ref="B10" r:id="rId37" xr:uid="{D44FA191-135E-4AE3-B7CB-E72C6EF6DFFE}"/>
    <hyperlink ref="B11" r:id="rId38" xr:uid="{F025BD9A-BA10-4CEB-843C-111EBAD73092}"/>
    <hyperlink ref="B12" r:id="rId39" xr:uid="{06853430-7A6D-4F4F-865E-3967D955ADBD}"/>
    <hyperlink ref="B13" r:id="rId40" xr:uid="{30D13479-8980-409F-B6D6-2FC23EC750AD}"/>
    <hyperlink ref="B14" r:id="rId41" xr:uid="{CCC818A3-4189-401B-907F-304E9638248B}"/>
    <hyperlink ref="B15" r:id="rId42" xr:uid="{FDB51DF1-81C9-4BAC-B5F2-1DD655C952AB}"/>
    <hyperlink ref="B16" r:id="rId43" xr:uid="{2A3DA1DA-9394-425D-B1BD-CD95BDE38179}"/>
    <hyperlink ref="B17" r:id="rId44" xr:uid="{69305AC7-2A5C-4B0F-94ED-627DCAFC4064}"/>
    <hyperlink ref="B18" r:id="rId45" xr:uid="{56AFCCB4-F87F-429E-82CC-E68CB43B075C}"/>
    <hyperlink ref="B19" r:id="rId46" xr:uid="{BC24E8CD-FD2A-4CB0-93CB-FC0BD98FD450}"/>
    <hyperlink ref="B20" r:id="rId47" xr:uid="{3504CC63-7424-4431-A841-30056B730784}"/>
    <hyperlink ref="B22" r:id="rId48" xr:uid="{5C15FF90-2966-4028-B8D0-D489A32D0796}"/>
    <hyperlink ref="B23" r:id="rId49" xr:uid="{53163E58-0E0A-49CB-8F27-28049E886E52}"/>
    <hyperlink ref="B24" r:id="rId50" xr:uid="{11C67638-F5C5-4D3B-ABB5-58420A418A42}"/>
    <hyperlink ref="B25" r:id="rId51" xr:uid="{D853561E-D371-41A0-B985-4AA415B300BC}"/>
    <hyperlink ref="B26" r:id="rId52" xr:uid="{DFBFFB94-4CD9-43DE-B57C-F6342CCE9A65}"/>
    <hyperlink ref="B27" r:id="rId53" xr:uid="{E08E4B53-97DD-4894-95BE-1B49B3BC2D33}"/>
    <hyperlink ref="B28" r:id="rId54" xr:uid="{01B8E708-CDED-48B7-8892-6B08A4BAD19D}"/>
    <hyperlink ref="B29" r:id="rId55" xr:uid="{AA78534E-2253-49F4-9576-4F0C76B140B6}"/>
    <hyperlink ref="B30" r:id="rId56" xr:uid="{C501DF01-3241-4582-B80F-33046CB9CEB4}"/>
    <hyperlink ref="B31" r:id="rId57" xr:uid="{DB199581-C407-4BFB-A9A0-4CA74DE86C3F}"/>
    <hyperlink ref="B32" r:id="rId58" xr:uid="{94442A94-8B2F-4A93-9773-F10F1497696B}"/>
    <hyperlink ref="B33" r:id="rId59" xr:uid="{7392A856-4F91-4FA6-9494-A3857DC5A0E5}"/>
    <hyperlink ref="B34" r:id="rId60" xr:uid="{F82A2A20-38FE-42C7-B428-ADA03A63B1BB}"/>
    <hyperlink ref="B35" r:id="rId61" xr:uid="{67526E27-09EA-488B-AE5E-B48A8E68E6E2}"/>
    <hyperlink ref="B37" r:id="rId62" xr:uid="{910D1A6D-EAC5-40B7-9C71-F3BD87BC2534}"/>
    <hyperlink ref="B40" r:id="rId63" xr:uid="{9BB40A97-4BC0-4793-B06A-52CD4BC39211}"/>
    <hyperlink ref="B41" r:id="rId64" xr:uid="{1FB69A38-FD22-43E5-8DE8-7ACF5D85226A}"/>
    <hyperlink ref="B42" r:id="rId65" xr:uid="{5D6DCBA1-1EB3-4BA3-B603-01272D6034ED}"/>
    <hyperlink ref="B44" r:id="rId66" xr:uid="{3D2554F1-3E74-4835-A9D1-0C4530319876}"/>
    <hyperlink ref="B45" r:id="rId67" xr:uid="{EB7F1120-D505-45C5-B4ED-CB3703BDCDB0}"/>
    <hyperlink ref="B46" r:id="rId68" xr:uid="{CDC1CE1C-2561-48C8-9F8F-C97D5CA8452A}"/>
    <hyperlink ref="B47" r:id="rId69" xr:uid="{788EC1FA-2111-429A-8D2F-0F44976BFEAB}"/>
    <hyperlink ref="B48" r:id="rId70" xr:uid="{32145F00-CFFC-4723-9A73-7C6A8A9DB74E}"/>
    <hyperlink ref="B49" r:id="rId71" xr:uid="{896F0453-7529-41A6-A1CC-85C853B4C73E}"/>
    <hyperlink ref="B50" r:id="rId72" xr:uid="{F953624A-5C41-47C9-9D35-5BB5C8805DC8}"/>
    <hyperlink ref="B51" r:id="rId73" xr:uid="{DA0D2439-8A1D-4634-A465-6C5EFF39219D}"/>
    <hyperlink ref="B52" r:id="rId74" xr:uid="{EE4AB9B9-2C7E-4573-BE7E-02ACDBB4B3E9}"/>
    <hyperlink ref="B53" r:id="rId75" xr:uid="{DB7503A9-8934-41E8-9FA3-1FB2E00F5C9A}"/>
    <hyperlink ref="B54" r:id="rId76" xr:uid="{F1BA6A47-14A0-4008-BBFD-2C1639D88AFD}"/>
    <hyperlink ref="B55" r:id="rId77" xr:uid="{F9F7EB44-D96F-479C-93B0-D0E11C60B9A9}"/>
    <hyperlink ref="B56" r:id="rId78" xr:uid="{89C6D10B-EC73-4D5B-9189-331305BA5F2C}"/>
    <hyperlink ref="B57" r:id="rId79" xr:uid="{94A3690A-39C9-465D-B839-C8FDD76C844E}"/>
    <hyperlink ref="B58" r:id="rId80" xr:uid="{C20D4E78-55CE-404D-99A8-B690BB5B499B}"/>
    <hyperlink ref="B59" r:id="rId81" xr:uid="{77E5ABBF-6ED1-43A5-8FC0-33E6C3FAB884}"/>
    <hyperlink ref="B62" r:id="rId82" xr:uid="{524539DB-11E7-43C9-B2D5-8D5645DD7C81}"/>
    <hyperlink ref="B63" r:id="rId83" xr:uid="{0E41BE0A-2F78-4AC4-B2B0-B0B8C9648244}"/>
    <hyperlink ref="B64" r:id="rId84" xr:uid="{C3B6C840-D47C-4517-A0A1-1C097271B740}"/>
    <hyperlink ref="B65" r:id="rId85" xr:uid="{E35CCA72-8519-4AA3-9422-66AC0CAB888B}"/>
    <hyperlink ref="B66" r:id="rId86" xr:uid="{1EEED5EC-CB4D-427A-A261-4AFF89A2E8B1}"/>
    <hyperlink ref="B68" r:id="rId87" xr:uid="{B598C0B3-65E9-440F-A479-01FC3F9537C0}"/>
    <hyperlink ref="B69" r:id="rId88" xr:uid="{94D6B3DD-A7BF-4DF5-8478-ACAAA3F5EDBB}"/>
    <hyperlink ref="B70" r:id="rId89" xr:uid="{D1318B82-3F1D-4398-9718-E20F443EC7AF}"/>
    <hyperlink ref="B71" r:id="rId90" xr:uid="{55AAC04A-3D5E-41EE-AD39-8F969E078671}"/>
    <hyperlink ref="B72" r:id="rId91" xr:uid="{4D8FDD70-D800-4C1F-840F-B876AA56DAB1}"/>
    <hyperlink ref="B73" r:id="rId92" xr:uid="{F777F888-BB94-475A-84E6-14FD48FEEA12}"/>
    <hyperlink ref="B74" r:id="rId93" xr:uid="{AB2CA69E-200B-40F3-B507-1E0779672313}"/>
    <hyperlink ref="B75" r:id="rId94" xr:uid="{17401289-6456-4044-9F38-AF33B62B1297}"/>
    <hyperlink ref="B76" r:id="rId95" xr:uid="{A26EAC4D-5AE0-46C1-BB12-CF110F1491D7}"/>
    <hyperlink ref="B77" r:id="rId96" xr:uid="{47352943-EB96-4CB6-A75B-9F528E988F04}"/>
    <hyperlink ref="B78" r:id="rId97" xr:uid="{DF7833B6-6269-4581-97C2-A9B2BE75A2C6}"/>
    <hyperlink ref="B80" r:id="rId98" xr:uid="{C24E478C-739D-43FA-8CCE-B5F927A917CE}"/>
    <hyperlink ref="B81" r:id="rId99" xr:uid="{4A046E68-CD5B-41F2-88EF-3B61D0C808F6}"/>
    <hyperlink ref="B82" r:id="rId100" xr:uid="{A1A11A9B-CB3D-4EC7-AB78-9872FC754D86}"/>
    <hyperlink ref="B83" r:id="rId101" xr:uid="{6C66FA48-4804-45F3-BC2D-7ECB8257CFE6}"/>
    <hyperlink ref="B84" r:id="rId102" xr:uid="{52DB7CAB-7A9D-4B5B-A8D1-E3CA68F486BD}"/>
    <hyperlink ref="B85" r:id="rId103" xr:uid="{303C968C-E46E-4C09-9473-89D01B82991E}"/>
    <hyperlink ref="B86" r:id="rId104" xr:uid="{6B18E9EF-72F2-47EB-8726-692407CFA74E}"/>
    <hyperlink ref="B87" r:id="rId105" xr:uid="{75C722B4-7259-41A4-86A0-E23F3D0A17C6}"/>
    <hyperlink ref="B89" r:id="rId106" xr:uid="{EEB19082-B4A1-4FD7-A059-3BE18A03DE8A}"/>
    <hyperlink ref="B90" r:id="rId107" xr:uid="{2F18FB97-8E65-45C4-9B69-0458A35FF68E}"/>
    <hyperlink ref="B91" r:id="rId108" xr:uid="{7BF7DE95-3281-4FF7-B620-C11F2066F998}"/>
    <hyperlink ref="B92" r:id="rId109" xr:uid="{E5804D94-2713-4BA0-B539-E5F9E7726D09}"/>
    <hyperlink ref="B93" r:id="rId110" xr:uid="{965DD912-CDF0-4FF4-A14E-09741A0A7199}"/>
    <hyperlink ref="B94" r:id="rId111" xr:uid="{C8DDEFC5-A268-4F2D-8F4C-45D1833AEE92}"/>
    <hyperlink ref="B95" r:id="rId112" xr:uid="{DED4F872-ECFC-47B0-9DB2-DE0674522012}"/>
    <hyperlink ref="B96" r:id="rId113" xr:uid="{2CE9766F-A5BC-45DB-9282-C5045F786DC4}"/>
    <hyperlink ref="B97" r:id="rId114" xr:uid="{D3D534B6-386E-4191-B6E8-AD064982917A}"/>
    <hyperlink ref="B98" r:id="rId115" xr:uid="{75A13A2A-63E7-43F0-B88C-D125960E0701}"/>
    <hyperlink ref="B99" r:id="rId116" xr:uid="{FE59ADDE-A0C2-4432-B3AC-2F6C375F4FA0}"/>
    <hyperlink ref="B100" r:id="rId117" xr:uid="{579B9B40-C980-4E02-8DDB-7B23EFCC9263}"/>
    <hyperlink ref="B101" r:id="rId118" xr:uid="{A15AE8EC-1FDC-4970-93DA-7B1F9854C41F}"/>
    <hyperlink ref="B102" r:id="rId119" xr:uid="{F26BA457-5B2B-4BBB-A461-93429DE58415}"/>
    <hyperlink ref="B104" r:id="rId120" xr:uid="{D0C071A3-7011-43CA-8B75-EEA2B0E8882A}"/>
    <hyperlink ref="B105" r:id="rId121" xr:uid="{9219F570-EB00-422C-B8B9-E403FE8CE5B5}"/>
    <hyperlink ref="B106" r:id="rId122" xr:uid="{C31ED8F0-F1D8-4C41-AE2B-809635DF0EA9}"/>
    <hyperlink ref="B107" r:id="rId123" xr:uid="{67334CB2-23BE-45B3-832D-6D7DE7D96363}"/>
    <hyperlink ref="B110" r:id="rId124" xr:uid="{BDF07261-BB05-46F7-B5E0-A5E77300A2EE}"/>
    <hyperlink ref="B111" r:id="rId125" xr:uid="{B8803B2C-23A9-4052-B348-9427300EC33A}"/>
    <hyperlink ref="B112" r:id="rId126" xr:uid="{5577ED4B-0D68-48FA-888C-BE56E3829FFE}"/>
    <hyperlink ref="B113" r:id="rId127" xr:uid="{CDCDB5BB-B798-4DC0-97AF-7A4E35E45F72}"/>
    <hyperlink ref="B114" r:id="rId128" xr:uid="{AC3D326B-E706-4B40-BE8C-2B9B229A2B09}"/>
    <hyperlink ref="B115" r:id="rId129" xr:uid="{472DC695-C584-4EE3-B92A-B58808E9E034}"/>
    <hyperlink ref="B116" r:id="rId130" xr:uid="{AC294E1A-369B-4AED-B6AC-E98D41002483}"/>
    <hyperlink ref="B118" r:id="rId131" xr:uid="{5B280745-B312-420D-A637-337497496D10}"/>
    <hyperlink ref="B119" r:id="rId132" xr:uid="{68D80B66-920C-419C-97D0-05BFACD3C9D6}"/>
    <hyperlink ref="B120" r:id="rId133" xr:uid="{D557AF58-7B4E-4205-8993-735FF7B4397D}"/>
    <hyperlink ref="B121" r:id="rId134" xr:uid="{C9C05986-3714-4E55-9AFD-1AAE646F11E5}"/>
    <hyperlink ref="B123" r:id="rId135" xr:uid="{4195E2AB-FACF-422F-94F3-BD00CDE770C9}"/>
    <hyperlink ref="B124" r:id="rId136" xr:uid="{3B964276-82D9-442B-9368-9C418798AAF2}"/>
    <hyperlink ref="B125" r:id="rId137" xr:uid="{8D9E132D-159D-462F-AF19-39C8C1FB6C81}"/>
    <hyperlink ref="B126" r:id="rId138" xr:uid="{022B17CB-F859-491E-B29B-5680731651A5}"/>
    <hyperlink ref="B127" r:id="rId139" xr:uid="{F4012632-882B-4677-BEBA-B6AD5562C18B}"/>
    <hyperlink ref="B128" r:id="rId140" xr:uid="{0E5C2053-00A6-41A8-9EB7-245038B9DC5E}"/>
    <hyperlink ref="B129" r:id="rId141" xr:uid="{8078C9B3-47B9-4028-AE7A-DE4E1BB441FF}"/>
    <hyperlink ref="B130" r:id="rId142" xr:uid="{998F87B6-0A2D-4D17-9933-D61C5725A210}"/>
    <hyperlink ref="B131" r:id="rId143" xr:uid="{729306C6-8B9E-49C6-A994-AFA36DCE722E}"/>
    <hyperlink ref="B132" r:id="rId144" xr:uid="{0D14443B-176E-477C-9960-C63F8A6832B3}"/>
    <hyperlink ref="B133" r:id="rId145" xr:uid="{1D3500DB-07B8-47D8-ACEA-14D635F39437}"/>
    <hyperlink ref="B134" r:id="rId146" xr:uid="{E0B8453D-2070-486F-97B2-3A822600C1B0}"/>
    <hyperlink ref="B135" r:id="rId147" xr:uid="{80B90860-91E7-4EE8-86B1-5F8375A68DB2}"/>
    <hyperlink ref="B137" r:id="rId148" xr:uid="{DED5C52E-F279-4AEC-9575-A25EE56EA647}"/>
    <hyperlink ref="B139" r:id="rId149" xr:uid="{7AE633D6-B402-426E-BC2D-B6233AFAFCF1}"/>
    <hyperlink ref="B140" r:id="rId150" xr:uid="{C8979EB7-D421-4CED-85F7-6F45E10B59C9}"/>
    <hyperlink ref="B141" r:id="rId151" xr:uid="{67EA8C04-208E-488E-9A4B-78BDA1BFCB43}"/>
    <hyperlink ref="B142" r:id="rId152" xr:uid="{7BB99CC0-5497-4529-80E3-A63072DA2909}"/>
    <hyperlink ref="B143" r:id="rId153" xr:uid="{7CE9EF9F-592B-4AE0-A6E7-BD25557BFA48}"/>
    <hyperlink ref="B144" r:id="rId154" xr:uid="{47ADACAB-1140-424F-A845-50AC025506F7}"/>
    <hyperlink ref="B145" r:id="rId155" xr:uid="{F4695039-5681-446B-B0E5-409A66858B73}"/>
    <hyperlink ref="B146" r:id="rId156" xr:uid="{68AF1D20-0405-4CAD-83EE-5E1230D085D9}"/>
    <hyperlink ref="B147" r:id="rId157" xr:uid="{D24D7AD3-76C8-499E-AF53-CB3D67E8DFB5}"/>
    <hyperlink ref="B148" r:id="rId158" xr:uid="{599EDBC3-F89C-4652-8434-D145C9044118}"/>
    <hyperlink ref="B149" r:id="rId159" xr:uid="{AA651083-3DE9-4704-BB67-693BDEB8CA30}"/>
    <hyperlink ref="B150" r:id="rId160" xr:uid="{89DC9B24-7A52-46BA-B40C-105E317969CE}"/>
    <hyperlink ref="B151" r:id="rId161" xr:uid="{3E3144C8-1692-4DE6-98A3-6AD434AC3004}"/>
    <hyperlink ref="B152" r:id="rId162" xr:uid="{7E2FC0B8-5FA6-4518-9D10-700311214DF2}"/>
    <hyperlink ref="B153" r:id="rId163" xr:uid="{A6622AE0-94CD-4A1E-B31B-7A00E8CF3524}"/>
    <hyperlink ref="B154" r:id="rId164" xr:uid="{39141D60-0ED2-45DC-A93B-8DDE4D0D1F63}"/>
    <hyperlink ref="B155" r:id="rId165" xr:uid="{B4D34E48-6C06-4C25-9E9B-D9CD4AE6EEDB}"/>
    <hyperlink ref="B156" r:id="rId166" xr:uid="{50ACFD23-B671-4E03-924F-3A59B3538BFE}"/>
    <hyperlink ref="B157" r:id="rId167" xr:uid="{B7A49C78-B609-4708-BECB-AC30CB189A74}"/>
    <hyperlink ref="B158" r:id="rId168" xr:uid="{0400A80D-A421-4AE2-857A-031D3FDE9FF2}"/>
    <hyperlink ref="B159" r:id="rId169" xr:uid="{442D0C1F-8BF5-4F45-9575-AC566C215267}"/>
    <hyperlink ref="B161" r:id="rId170" xr:uid="{439938D8-6B14-4494-9628-961137C7958A}"/>
    <hyperlink ref="B160" r:id="rId171" xr:uid="{38F1D666-F4DE-4890-A340-BE2E4DDCC0D1}"/>
    <hyperlink ref="B162" r:id="rId172" xr:uid="{5438B672-89A2-49EA-A342-9134E6898847}"/>
    <hyperlink ref="B163" r:id="rId173" xr:uid="{14A90C06-CD65-4800-9D98-C462303700DF}"/>
    <hyperlink ref="B164" r:id="rId174" xr:uid="{6B2153EE-0046-49A3-8F81-9C77904411F1}"/>
    <hyperlink ref="B165" r:id="rId175" xr:uid="{0FBF588C-8073-40E5-82E8-D8D171FFDA7C}"/>
    <hyperlink ref="B166" r:id="rId176" xr:uid="{79CDCBDB-2F3B-4FBC-8524-B952737AE8E2}"/>
    <hyperlink ref="B167" r:id="rId177" xr:uid="{09ACC2FD-32C6-4502-840C-C0B7CD50D31E}"/>
    <hyperlink ref="B168" r:id="rId178" xr:uid="{0A5DAE46-4AB2-4C04-B48D-E574488ADB8B}"/>
    <hyperlink ref="B169" r:id="rId179" xr:uid="{C9871F99-692A-4376-80AA-CC2523A75C6E}"/>
    <hyperlink ref="B170" r:id="rId180" xr:uid="{46CCD93A-3485-4C08-ACAD-BCA118B5DD00}"/>
    <hyperlink ref="B171" r:id="rId181" xr:uid="{51E0D288-66FA-497E-857D-0C050B824B49}"/>
    <hyperlink ref="B172" r:id="rId182" xr:uid="{5751F741-FFA1-47E4-8051-64A4E2B6597D}"/>
    <hyperlink ref="B173" r:id="rId183" xr:uid="{B2A580BD-8501-4F72-B1C8-6208EFBEA55C}"/>
    <hyperlink ref="B174" r:id="rId184" xr:uid="{10F8A2A5-90DB-48FD-B778-6982B367D93F}"/>
    <hyperlink ref="B176" r:id="rId185" xr:uid="{0530CEF7-018C-464E-A000-7C21C0F048D7}"/>
    <hyperlink ref="B178" r:id="rId186" xr:uid="{E6063471-28CF-4FDB-82E2-D7F17C40BD83}"/>
    <hyperlink ref="B179" r:id="rId187" xr:uid="{AAE8C0C3-2829-40DC-BC28-6ED4E62169D7}"/>
    <hyperlink ref="B180" r:id="rId188" xr:uid="{370EAEBF-903E-40FA-9D25-B1B653FCC9FD}"/>
    <hyperlink ref="B181" r:id="rId189" xr:uid="{CFDCA0BF-A02E-4BC2-B5F1-09B8721C346D}"/>
    <hyperlink ref="B182" r:id="rId190" xr:uid="{154BF468-2C6C-4B4D-9C9B-31671FDFCACD}"/>
    <hyperlink ref="B183" r:id="rId191" xr:uid="{BCFBBE2A-B5B1-4CF7-9FE5-1B0433116D23}"/>
    <hyperlink ref="B184" r:id="rId192" xr:uid="{31384F56-888A-4A38-A886-92EE3E62244A}"/>
    <hyperlink ref="B185" r:id="rId193" xr:uid="{D82968A0-987A-4FB9-A895-BA76CAA2AEC9}"/>
    <hyperlink ref="B186" r:id="rId194" xr:uid="{74EC5154-B1F3-4BDA-8C3C-7EF38FC851D7}"/>
    <hyperlink ref="B188" r:id="rId195" xr:uid="{76FC2301-C140-40BB-8897-C8A2E103B9F5}"/>
    <hyperlink ref="B190" r:id="rId196" xr:uid="{DBD17D32-5121-44FE-B10A-AA9895723417}"/>
    <hyperlink ref="B191" r:id="rId197" xr:uid="{9908ED84-9024-4CCE-8295-F0F2896DA8DA}"/>
    <hyperlink ref="B192" r:id="rId198" xr:uid="{021DC503-ACE2-4D48-85A2-7FDF177952A8}"/>
    <hyperlink ref="B193" r:id="rId199" xr:uid="{618255FF-542F-43B5-8625-B66D4BA46C1C}"/>
    <hyperlink ref="B194" r:id="rId200" xr:uid="{4772365B-63FD-448E-A901-D8C0686A3718}"/>
    <hyperlink ref="B195" r:id="rId201" xr:uid="{D846357C-9EF2-494B-8166-80B50C2B4402}"/>
    <hyperlink ref="B196" r:id="rId202" xr:uid="{1BF6E6C9-E513-4DEA-8040-BF925700F6BC}"/>
    <hyperlink ref="B197" r:id="rId203" xr:uid="{C51F7B77-3CDB-42EC-8A37-D7B96FF199A2}"/>
    <hyperlink ref="B198" r:id="rId204" xr:uid="{8C38497C-CAFD-4DA3-A31E-D24B64873585}"/>
    <hyperlink ref="B199" r:id="rId205" xr:uid="{FFB23C0D-2301-4377-92BA-C628626B1F03}"/>
    <hyperlink ref="B200" r:id="rId206" xr:uid="{D7B65639-D0FC-4139-B6D3-9CC6CED01168}"/>
    <hyperlink ref="B201" r:id="rId207" xr:uid="{D93488AE-087E-422A-A14C-E29F1CE4E731}"/>
    <hyperlink ref="B202" r:id="rId208" xr:uid="{E00FAD34-5111-4280-9CF7-96ABF1C023DB}"/>
    <hyperlink ref="B203" r:id="rId209" xr:uid="{CE866D14-4618-4183-B810-E3F73C32A342}"/>
    <hyperlink ref="B204" r:id="rId210" xr:uid="{DE24D64D-4118-411F-A1EF-39A3F5391088}"/>
    <hyperlink ref="B205" r:id="rId211" xr:uid="{AB390813-BFC4-46E7-B24C-4B50A2D07F10}"/>
    <hyperlink ref="B206" r:id="rId212" xr:uid="{D4984A5C-0129-43A6-A82A-6AF301C5F007}"/>
    <hyperlink ref="B207" r:id="rId213" xr:uid="{504387DF-E243-46D6-B34B-BD1778F455BB}"/>
    <hyperlink ref="B208" r:id="rId214" xr:uid="{C2E41B2B-BE17-4EAA-A150-AFEB0D7F361A}"/>
    <hyperlink ref="B209" r:id="rId215" xr:uid="{FA439CA8-8EEA-4873-9379-97BE931A4FA6}"/>
    <hyperlink ref="B210" r:id="rId216" xr:uid="{58226867-2DCC-4CB3-AE07-18DAC398DED8}"/>
    <hyperlink ref="B211" r:id="rId217" xr:uid="{130A23B5-E489-49AC-A6A0-710FB2D3478F}"/>
    <hyperlink ref="B212" r:id="rId218" xr:uid="{2D332356-7FA9-42E8-9869-7CB22BCB961E}"/>
    <hyperlink ref="B213" r:id="rId219" xr:uid="{4D5FF5A1-0642-4ABE-BF2F-9A42353F0695}"/>
    <hyperlink ref="B214" r:id="rId220" xr:uid="{BA1744E6-FDEB-4E33-A13B-EBF8A2ADFCBF}"/>
    <hyperlink ref="B215" r:id="rId221" xr:uid="{609787CA-5E86-41FD-9466-F8C104A8CC9F}"/>
    <hyperlink ref="B216" r:id="rId222" xr:uid="{02BBAF92-4193-49C6-8C9D-86FF8AA3CE29}"/>
    <hyperlink ref="B217" r:id="rId223" xr:uid="{A0AFCD1B-A89D-43E3-8C46-129B4A6A65D1}"/>
    <hyperlink ref="B218" r:id="rId224" xr:uid="{C74A8355-E0E9-4E61-97B3-2DEB7B681DD7}"/>
    <hyperlink ref="B219" r:id="rId225" xr:uid="{E377EC2D-6EC4-4BCD-A359-5C497F809A58}"/>
    <hyperlink ref="B220" r:id="rId226" xr:uid="{18504603-F9ED-4A87-B0D6-F9F967CCD6F8}"/>
    <hyperlink ref="B221" r:id="rId227" xr:uid="{8EAB96D1-FA11-4E57-BEF0-5DC6A8BA00BD}"/>
    <hyperlink ref="B222" r:id="rId228" xr:uid="{57B8742E-10F1-4348-9558-35EA0EF3D7B3}"/>
    <hyperlink ref="B224" r:id="rId229" xr:uid="{02787324-86DE-4E34-8667-1523C2F8A047}"/>
    <hyperlink ref="B225" r:id="rId230" xr:uid="{3D8FD1A6-E19D-48F7-B398-5D85BE5F5F79}"/>
    <hyperlink ref="B226" r:id="rId231" xr:uid="{3080EFDD-FFF8-4A27-B6D2-0BF73F800ADE}"/>
    <hyperlink ref="B227" r:id="rId232" xr:uid="{F8D045BC-D9BF-4FE0-9CFF-AAF900E1DA7B}"/>
    <hyperlink ref="B228" r:id="rId233" xr:uid="{1BA21AE7-048F-4A0D-98EB-12BB735A13CC}"/>
    <hyperlink ref="B229" r:id="rId234" xr:uid="{BDF35DEA-E70B-4E00-AF6F-7A2EDF80A861}"/>
    <hyperlink ref="B231" r:id="rId235" xr:uid="{0FF85E9E-B5F4-4C64-9300-3986EFC9C9B5}"/>
    <hyperlink ref="B232" r:id="rId236" xr:uid="{B7934CDC-A3A3-4671-BC2C-1AE115E00C79}"/>
    <hyperlink ref="B233" r:id="rId237" xr:uid="{8885A643-5A4A-41BC-BA6A-74FFECAA7860}"/>
    <hyperlink ref="B235" r:id="rId238" xr:uid="{78941DEA-FB5D-4EBB-AA48-FBAC8F858560}"/>
    <hyperlink ref="B236" r:id="rId239" xr:uid="{FAA94F3A-F993-4692-B4C0-78243AE0E469}"/>
    <hyperlink ref="B237" r:id="rId240" xr:uid="{826ED2C6-E648-4441-BD73-E81D337BEDC2}"/>
    <hyperlink ref="B238" r:id="rId241" xr:uid="{D1853925-F4D5-455B-AE9E-BD0E60EAFAAC}"/>
    <hyperlink ref="B239" r:id="rId242" xr:uid="{FF304DE2-B4FB-444F-B6E7-73C957BBA11A}"/>
    <hyperlink ref="B240" r:id="rId243" xr:uid="{ED920FFD-CAF2-4E93-A240-184B4303EB08}"/>
    <hyperlink ref="B241" r:id="rId244" xr:uid="{617F8F11-46C7-4800-BF51-C682AB35FDDA}"/>
    <hyperlink ref="B242" r:id="rId245" xr:uid="{5C266BB7-A85D-4136-84F5-16ACE84FE42B}"/>
    <hyperlink ref="B243" r:id="rId246" xr:uid="{3B71F212-9E8C-4CD0-9DB2-7A4E180DDDA7}"/>
    <hyperlink ref="B244" r:id="rId247" xr:uid="{763AB3AA-8B0F-401F-8F70-40BE89A0A3BE}"/>
    <hyperlink ref="B245" r:id="rId248" xr:uid="{BC59378F-A785-4834-A243-B78DEC6AEDA7}"/>
    <hyperlink ref="B246" r:id="rId249" xr:uid="{CCCB92D7-03AA-4089-8D06-52849510C705}"/>
  </hyperlinks>
  <pageMargins left="0.7" right="0.7" top="0.75" bottom="0.75" header="0.3" footer="0.3"/>
  <tableParts count="1">
    <tablePart r:id="rId25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61"/>
  <sheetViews>
    <sheetView workbookViewId="0">
      <pane xSplit="1" ySplit="1" topLeftCell="B209" activePane="bottomRight" state="frozen"/>
      <selection activeCell="A2" sqref="A2"/>
      <selection pane="topRight" activeCell="A2" sqref="A2"/>
      <selection pane="bottomLeft" activeCell="A2" sqref="A2"/>
      <selection pane="bottomRight" activeCell="A211" sqref="A211:XFD211"/>
    </sheetView>
  </sheetViews>
  <sheetFormatPr defaultRowHeight="30" customHeight="1" x14ac:dyDescent="0.25"/>
  <cols>
    <col min="1" max="1" width="36.42578125" style="1" bestFit="1" customWidth="1"/>
    <col min="2" max="3" width="36.42578125" style="1" customWidth="1"/>
    <col min="4" max="4" width="20.28515625" style="2" customWidth="1"/>
    <col min="5" max="10" width="11" style="2" customWidth="1"/>
    <col min="11" max="11" width="12.140625" style="2" bestFit="1" customWidth="1"/>
    <col min="12" max="13" width="11" style="2" customWidth="1"/>
    <col min="14" max="38" width="12" style="2" customWidth="1"/>
    <col min="39" max="39" width="14.5703125" style="2" bestFit="1" customWidth="1"/>
    <col min="40" max="40" width="12" style="2" customWidth="1"/>
    <col min="41" max="41" width="12.7109375" style="2" bestFit="1" customWidth="1"/>
    <col min="42" max="42" width="12" style="2" customWidth="1"/>
    <col min="43" max="43" width="14.85546875" style="2" bestFit="1" customWidth="1"/>
    <col min="44" max="44" width="12" style="2" customWidth="1"/>
    <col min="45" max="45" width="13.140625" style="2" bestFit="1" customWidth="1"/>
    <col min="46" max="61" width="12" style="2" customWidth="1"/>
    <col min="62" max="62" width="9.140625" style="1" customWidth="1"/>
    <col min="63" max="67" width="9.140625" style="2" customWidth="1"/>
    <col min="68" max="16384" width="9.140625" style="2"/>
  </cols>
  <sheetData>
    <row r="1" spans="1:62" s="7" customFormat="1" ht="30" customHeight="1" x14ac:dyDescent="0.25">
      <c r="A1" s="15" t="s">
        <v>847</v>
      </c>
      <c r="B1" s="21" t="s">
        <v>1341</v>
      </c>
      <c r="C1" s="16" t="s">
        <v>1236</v>
      </c>
      <c r="D1" s="18" t="s">
        <v>1237</v>
      </c>
      <c r="E1" s="16" t="s">
        <v>1238</v>
      </c>
      <c r="F1" s="18" t="s">
        <v>1239</v>
      </c>
      <c r="G1" s="16" t="s">
        <v>1240</v>
      </c>
      <c r="H1" s="18" t="s">
        <v>1244</v>
      </c>
      <c r="I1" s="16" t="s">
        <v>1245</v>
      </c>
      <c r="J1" s="16" t="s">
        <v>1291</v>
      </c>
      <c r="K1" s="18" t="s">
        <v>1241</v>
      </c>
      <c r="L1" s="18" t="s">
        <v>1242</v>
      </c>
      <c r="M1" s="16" t="s">
        <v>1243</v>
      </c>
      <c r="N1" s="18" t="s">
        <v>1246</v>
      </c>
      <c r="O1" s="16" t="s">
        <v>1247</v>
      </c>
      <c r="P1" s="18" t="s">
        <v>1248</v>
      </c>
      <c r="Q1" s="16" t="s">
        <v>1249</v>
      </c>
      <c r="R1" s="18" t="s">
        <v>1250</v>
      </c>
      <c r="S1" s="16" t="s">
        <v>1251</v>
      </c>
      <c r="T1" s="18" t="s">
        <v>1288</v>
      </c>
      <c r="U1" s="16" t="s">
        <v>1289</v>
      </c>
      <c r="V1" s="18" t="s">
        <v>1252</v>
      </c>
      <c r="W1" s="16" t="s">
        <v>988</v>
      </c>
      <c r="X1" s="18" t="s">
        <v>1253</v>
      </c>
      <c r="Y1" s="16" t="s">
        <v>1254</v>
      </c>
      <c r="Z1" s="18" t="s">
        <v>1255</v>
      </c>
      <c r="AA1" s="16" t="s">
        <v>1292</v>
      </c>
      <c r="AB1" s="18" t="s">
        <v>1256</v>
      </c>
      <c r="AC1" s="16" t="s">
        <v>1257</v>
      </c>
      <c r="AD1" s="18" t="s">
        <v>1258</v>
      </c>
      <c r="AE1" s="16" t="s">
        <v>1259</v>
      </c>
      <c r="AF1" s="18" t="s">
        <v>1260</v>
      </c>
      <c r="AG1" s="16" t="s">
        <v>1261</v>
      </c>
      <c r="AH1" s="18" t="s">
        <v>1262</v>
      </c>
      <c r="AI1" s="16" t="s">
        <v>1263</v>
      </c>
      <c r="AJ1" s="18" t="s">
        <v>1273</v>
      </c>
      <c r="AK1" s="16" t="s">
        <v>1290</v>
      </c>
      <c r="AL1" s="18" t="s">
        <v>1264</v>
      </c>
      <c r="AM1" s="16" t="s">
        <v>1265</v>
      </c>
      <c r="AN1" s="18" t="s">
        <v>1266</v>
      </c>
      <c r="AO1" s="16" t="s">
        <v>1267</v>
      </c>
      <c r="AP1" s="18" t="s">
        <v>1269</v>
      </c>
      <c r="AQ1" s="16" t="s">
        <v>1268</v>
      </c>
      <c r="AR1" s="18" t="s">
        <v>1270</v>
      </c>
      <c r="AS1" s="16" t="s">
        <v>1271</v>
      </c>
      <c r="AT1" s="18" t="s">
        <v>1272</v>
      </c>
      <c r="AU1" s="16" t="s">
        <v>1274</v>
      </c>
      <c r="AV1" s="18" t="s">
        <v>1275</v>
      </c>
      <c r="AW1" s="16" t="s">
        <v>1276</v>
      </c>
      <c r="AX1" s="18" t="s">
        <v>1277</v>
      </c>
      <c r="AY1" s="16" t="s">
        <v>1278</v>
      </c>
      <c r="AZ1" s="18" t="s">
        <v>1279</v>
      </c>
      <c r="BA1" s="16" t="s">
        <v>1280</v>
      </c>
      <c r="BB1" s="18" t="s">
        <v>1281</v>
      </c>
      <c r="BC1" s="16" t="s">
        <v>1282</v>
      </c>
      <c r="BD1" s="18" t="s">
        <v>1283</v>
      </c>
      <c r="BE1" s="16" t="s">
        <v>1284</v>
      </c>
      <c r="BF1" s="18" t="s">
        <v>1285</v>
      </c>
      <c r="BG1" s="16" t="s">
        <v>1286</v>
      </c>
      <c r="BH1" s="18" t="s">
        <v>1287</v>
      </c>
    </row>
    <row r="2" spans="1:62" ht="30" customHeight="1" x14ac:dyDescent="0.25">
      <c r="A2" s="1" t="s">
        <v>857</v>
      </c>
      <c r="B2" s="1" t="str">
        <f t="shared" ref="B2:B65" si="0">_xlfn.TEXTJOIN(",  ",TRUE,C2:BH2)</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 s="2" t="s">
        <v>1236</v>
      </c>
      <c r="D2" s="2" t="s">
        <v>1237</v>
      </c>
      <c r="E2" s="2" t="s">
        <v>1238</v>
      </c>
      <c r="F2" s="2" t="s">
        <v>1239</v>
      </c>
      <c r="G2" s="2" t="s">
        <v>1240</v>
      </c>
      <c r="H2" s="2" t="s">
        <v>1244</v>
      </c>
      <c r="I2" s="2" t="s">
        <v>1245</v>
      </c>
      <c r="J2" s="2" t="s">
        <v>1291</v>
      </c>
      <c r="K2" s="2" t="s">
        <v>1241</v>
      </c>
      <c r="L2" s="2" t="s">
        <v>1242</v>
      </c>
      <c r="M2" s="2" t="s">
        <v>1243</v>
      </c>
      <c r="N2" s="2" t="s">
        <v>1246</v>
      </c>
      <c r="O2" s="2" t="s">
        <v>1247</v>
      </c>
      <c r="P2" s="2" t="s">
        <v>1248</v>
      </c>
      <c r="Q2" s="2" t="s">
        <v>1249</v>
      </c>
      <c r="R2" s="2" t="s">
        <v>1250</v>
      </c>
      <c r="S2" s="2" t="s">
        <v>1251</v>
      </c>
      <c r="T2" s="2" t="s">
        <v>1288</v>
      </c>
      <c r="U2" s="2" t="s">
        <v>1289</v>
      </c>
      <c r="V2" s="2" t="s">
        <v>1252</v>
      </c>
      <c r="W2" s="2" t="s">
        <v>988</v>
      </c>
      <c r="X2" s="2" t="s">
        <v>1253</v>
      </c>
      <c r="Y2" s="2" t="s">
        <v>1254</v>
      </c>
      <c r="Z2" s="2" t="s">
        <v>1255</v>
      </c>
      <c r="AA2" s="2" t="s">
        <v>1292</v>
      </c>
      <c r="AB2" s="2" t="s">
        <v>1256</v>
      </c>
      <c r="AC2" s="2" t="s">
        <v>1257</v>
      </c>
      <c r="AD2" s="2" t="s">
        <v>1258</v>
      </c>
      <c r="AE2" s="2" t="s">
        <v>1259</v>
      </c>
      <c r="AF2" s="2" t="s">
        <v>1260</v>
      </c>
      <c r="AG2" s="2" t="s">
        <v>1261</v>
      </c>
      <c r="AH2" s="2" t="s">
        <v>1262</v>
      </c>
      <c r="AI2" s="2" t="s">
        <v>1263</v>
      </c>
      <c r="AJ2" s="2" t="s">
        <v>1273</v>
      </c>
      <c r="AK2" s="2" t="s">
        <v>1290</v>
      </c>
      <c r="AL2" s="2" t="s">
        <v>1264</v>
      </c>
      <c r="AM2" s="2" t="s">
        <v>1265</v>
      </c>
      <c r="AN2" s="2" t="s">
        <v>1266</v>
      </c>
      <c r="AO2" s="2" t="s">
        <v>1267</v>
      </c>
      <c r="AP2" s="2" t="s">
        <v>1269</v>
      </c>
      <c r="AQ2" s="2" t="s">
        <v>1268</v>
      </c>
      <c r="AR2" s="2" t="s">
        <v>1270</v>
      </c>
      <c r="AS2" s="2" t="s">
        <v>1271</v>
      </c>
      <c r="AT2" s="2" t="s">
        <v>1272</v>
      </c>
      <c r="AU2" s="2" t="s">
        <v>1274</v>
      </c>
      <c r="AV2" s="2" t="s">
        <v>1275</v>
      </c>
      <c r="AW2" s="2" t="s">
        <v>1276</v>
      </c>
      <c r="AX2" s="2" t="s">
        <v>1277</v>
      </c>
      <c r="AY2" s="2" t="s">
        <v>1278</v>
      </c>
      <c r="AZ2" s="2" t="s">
        <v>1279</v>
      </c>
      <c r="BA2" s="2" t="s">
        <v>1280</v>
      </c>
      <c r="BB2" s="2" t="s">
        <v>1281</v>
      </c>
      <c r="BC2" s="2" t="s">
        <v>1282</v>
      </c>
      <c r="BD2" s="2" t="s">
        <v>1283</v>
      </c>
      <c r="BE2" s="2" t="s">
        <v>1284</v>
      </c>
      <c r="BF2" s="2" t="s">
        <v>1285</v>
      </c>
      <c r="BG2" s="2" t="s">
        <v>1286</v>
      </c>
      <c r="BH2" s="2" t="s">
        <v>1287</v>
      </c>
      <c r="BJ2" s="2"/>
    </row>
    <row r="3" spans="1:62" ht="30" customHeight="1" x14ac:dyDescent="0.25">
      <c r="A3" s="1" t="s">
        <v>863</v>
      </c>
      <c r="B3" s="1" t="str">
        <f t="shared" si="0"/>
        <v>Butte,  El Dorado,  Los Angeles,  Riverside,  Sacramento,  San Diego,  San Luis Obispo,  Santa Barbara</v>
      </c>
      <c r="C3" s="2"/>
      <c r="F3" s="2" t="s">
        <v>1239</v>
      </c>
      <c r="K3" s="2" t="s">
        <v>1241</v>
      </c>
      <c r="U3" s="2" t="s">
        <v>1289</v>
      </c>
      <c r="AI3" s="2" t="s">
        <v>1263</v>
      </c>
      <c r="AJ3" s="2" t="s">
        <v>1273</v>
      </c>
      <c r="AM3" s="2" t="s">
        <v>1265</v>
      </c>
      <c r="AP3" s="2" t="s">
        <v>1269</v>
      </c>
      <c r="AR3" s="2" t="s">
        <v>1270</v>
      </c>
      <c r="BJ3" s="2"/>
    </row>
    <row r="4" spans="1:62" ht="30" customHeight="1" x14ac:dyDescent="0.25">
      <c r="A4" s="1" t="s">
        <v>240</v>
      </c>
      <c r="B4" s="1" t="str">
        <f t="shared" si="0"/>
        <v>Fresno,  Kern,  Kings,  Madera,  San Luis Obispo,  Santa Barbara,  Tulare,  Ventura</v>
      </c>
      <c r="C4" s="2"/>
      <c r="L4" s="2" t="s">
        <v>1242</v>
      </c>
      <c r="Q4" s="2" t="s">
        <v>1249</v>
      </c>
      <c r="R4" s="2" t="s">
        <v>1250</v>
      </c>
      <c r="V4" s="2" t="s">
        <v>1252</v>
      </c>
      <c r="AP4" s="2" t="s">
        <v>1269</v>
      </c>
      <c r="AR4" s="2" t="s">
        <v>1270</v>
      </c>
      <c r="BD4" s="2" t="s">
        <v>1283</v>
      </c>
      <c r="BF4" s="2" t="s">
        <v>1285</v>
      </c>
      <c r="BJ4" s="2"/>
    </row>
    <row r="5" spans="1:62" ht="30" customHeight="1" x14ac:dyDescent="0.25">
      <c r="A5" s="1" t="s">
        <v>214</v>
      </c>
      <c r="B5" s="1" t="str">
        <f t="shared" si="0"/>
        <v>Alameda,  Contra Costa,  Marin</v>
      </c>
      <c r="C5" s="2" t="s">
        <v>1236</v>
      </c>
      <c r="I5" s="2" t="s">
        <v>1245</v>
      </c>
      <c r="W5" s="2" t="s">
        <v>988</v>
      </c>
      <c r="BJ5" s="2"/>
    </row>
    <row r="6" spans="1:62" ht="30" customHeight="1" x14ac:dyDescent="0.25">
      <c r="A6" s="1" t="s">
        <v>866</v>
      </c>
      <c r="B6" s="1" t="str">
        <f t="shared" si="0"/>
        <v>Amador,  Butte,  Calaveras,  Colusa,  El Dorado,  Glenn,  Napa,  Nevada,  Placer,  Sacramento,  San Joaquin,  Solano,  Sutter,  Yolo,  Yuba</v>
      </c>
      <c r="C6" s="2"/>
      <c r="E6" s="2" t="s">
        <v>1238</v>
      </c>
      <c r="F6" s="2" t="s">
        <v>1239</v>
      </c>
      <c r="G6" s="2" t="s">
        <v>1240</v>
      </c>
      <c r="H6" s="2" t="s">
        <v>1244</v>
      </c>
      <c r="K6" s="2" t="s">
        <v>1241</v>
      </c>
      <c r="M6" s="2" t="s">
        <v>1243</v>
      </c>
      <c r="AD6" s="2" t="s">
        <v>1258</v>
      </c>
      <c r="AE6" s="2" t="s">
        <v>1259</v>
      </c>
      <c r="AG6" s="2" t="s">
        <v>1261</v>
      </c>
      <c r="AJ6" s="2" t="s">
        <v>1273</v>
      </c>
      <c r="AO6" s="2" t="s">
        <v>1267</v>
      </c>
      <c r="AX6" s="2" t="s">
        <v>1277</v>
      </c>
      <c r="BA6" s="2" t="s">
        <v>1280</v>
      </c>
      <c r="BG6" s="2" t="s">
        <v>1286</v>
      </c>
      <c r="BH6" s="2" t="s">
        <v>1287</v>
      </c>
      <c r="BJ6" s="2"/>
    </row>
    <row r="7" spans="1:62" ht="30" customHeight="1" x14ac:dyDescent="0.25">
      <c r="A7" s="1" t="s">
        <v>71</v>
      </c>
      <c r="B7" s="1" t="str">
        <f t="shared" si="0"/>
        <v>Contra Costa,  Lake,  Marin,  Mendocino,  Napa,  San Francisco,  Solano,  Sonoma</v>
      </c>
      <c r="C7" s="2"/>
      <c r="I7" s="2" t="s">
        <v>1245</v>
      </c>
      <c r="S7" s="2" t="s">
        <v>1251</v>
      </c>
      <c r="W7" s="2" t="s">
        <v>988</v>
      </c>
      <c r="Y7" s="2" t="s">
        <v>1254</v>
      </c>
      <c r="AD7" s="2" t="s">
        <v>1258</v>
      </c>
      <c r="AN7" s="2" t="s">
        <v>1266</v>
      </c>
      <c r="AX7" s="2" t="s">
        <v>1277</v>
      </c>
      <c r="AY7" s="2" t="s">
        <v>1278</v>
      </c>
      <c r="BJ7" s="2"/>
    </row>
    <row r="8" spans="1:62" ht="30" customHeight="1" x14ac:dyDescent="0.25">
      <c r="A8" s="1" t="s">
        <v>1233</v>
      </c>
      <c r="B8" s="1" t="str">
        <f t="shared" si="0"/>
        <v>Los Angeles,  Orange,  Riverside,  San Bernardino,  San Diego,  Santa Barbara,  Tulare,  Ventura</v>
      </c>
      <c r="C8" s="2"/>
      <c r="U8" s="2" t="s">
        <v>1289</v>
      </c>
      <c r="AF8" s="2" t="s">
        <v>1260</v>
      </c>
      <c r="AI8" s="2" t="s">
        <v>1263</v>
      </c>
      <c r="AL8" s="2" t="s">
        <v>1264</v>
      </c>
      <c r="AM8" s="2" t="s">
        <v>1265</v>
      </c>
      <c r="AR8" s="2" t="s">
        <v>1270</v>
      </c>
      <c r="BD8" s="2" t="s">
        <v>1283</v>
      </c>
      <c r="BF8" s="2" t="s">
        <v>1285</v>
      </c>
      <c r="BJ8" s="2"/>
    </row>
    <row r="9" spans="1:62" ht="30" customHeight="1" x14ac:dyDescent="0.25">
      <c r="A9" s="1" t="s">
        <v>907</v>
      </c>
      <c r="B9" s="1" t="str">
        <f t="shared" si="0"/>
        <v>Fresno,  Kern,  Kings,  Madera,  Tulare</v>
      </c>
      <c r="C9" s="2"/>
      <c r="L9" s="2" t="s">
        <v>1242</v>
      </c>
      <c r="Q9" s="2" t="s">
        <v>1249</v>
      </c>
      <c r="R9" s="2" t="s">
        <v>1250</v>
      </c>
      <c r="V9" s="2" t="s">
        <v>1252</v>
      </c>
      <c r="BD9" s="2" t="s">
        <v>1283</v>
      </c>
      <c r="BJ9" s="2"/>
    </row>
    <row r="10" spans="1:62" ht="30" customHeight="1" x14ac:dyDescent="0.25">
      <c r="A10" s="1" t="s">
        <v>458</v>
      </c>
      <c r="B10" s="1" t="str">
        <f t="shared" si="0"/>
        <v>Alameda,  Contra Costa,  Marin,  San Francisco,  San Mateo,  Sonoma</v>
      </c>
      <c r="C10" s="2" t="s">
        <v>1236</v>
      </c>
      <c r="I10" s="2" t="s">
        <v>1245</v>
      </c>
      <c r="W10" s="2" t="s">
        <v>988</v>
      </c>
      <c r="AN10" s="2" t="s">
        <v>1266</v>
      </c>
      <c r="AQ10" s="2" t="s">
        <v>1268</v>
      </c>
      <c r="AY10" s="2" t="s">
        <v>1278</v>
      </c>
      <c r="BJ10" s="2"/>
    </row>
    <row r="11" spans="1:62" ht="30" customHeight="1" x14ac:dyDescent="0.25">
      <c r="A11" s="1" t="s">
        <v>208</v>
      </c>
      <c r="B11" s="1" t="str">
        <f t="shared" si="0"/>
        <v>San Diego</v>
      </c>
      <c r="C11" s="2"/>
      <c r="AM11" s="2" t="s">
        <v>1265</v>
      </c>
      <c r="BJ11" s="2"/>
    </row>
    <row r="12" spans="1:62" ht="30" customHeight="1" x14ac:dyDescent="0.25">
      <c r="A12" s="1" t="s">
        <v>906</v>
      </c>
      <c r="B12" s="1" t="str">
        <f t="shared" si="0"/>
        <v>San Diego</v>
      </c>
      <c r="C12" s="2"/>
      <c r="AM12" s="2" t="s">
        <v>1265</v>
      </c>
      <c r="BJ12" s="2"/>
    </row>
    <row r="13" spans="1:62" ht="30" customHeight="1" x14ac:dyDescent="0.25">
      <c r="A13" s="1" t="s">
        <v>1295</v>
      </c>
      <c r="B13" s="1" t="str">
        <f t="shared" si="0"/>
        <v>Alameda,  Alpine,  Amador,  Butte,  Calaveras,  Colusa,  Contra Costa,  Glenn,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 s="2" t="s">
        <v>1236</v>
      </c>
      <c r="D13" s="2" t="s">
        <v>1237</v>
      </c>
      <c r="E13" s="2" t="s">
        <v>1238</v>
      </c>
      <c r="F13" s="2" t="s">
        <v>1239</v>
      </c>
      <c r="G13" s="2" t="s">
        <v>1240</v>
      </c>
      <c r="H13" s="2" t="s">
        <v>1244</v>
      </c>
      <c r="I13" s="2" t="s">
        <v>1245</v>
      </c>
      <c r="J13" s="2" t="s">
        <v>1243</v>
      </c>
      <c r="K13" s="2" t="s">
        <v>1241</v>
      </c>
      <c r="L13" s="2" t="s">
        <v>1242</v>
      </c>
      <c r="M13" s="2" t="s">
        <v>1243</v>
      </c>
      <c r="N13" s="2" t="s">
        <v>1246</v>
      </c>
      <c r="O13" s="2" t="s">
        <v>1247</v>
      </c>
      <c r="P13" s="2" t="s">
        <v>1248</v>
      </c>
      <c r="Q13" s="2" t="s">
        <v>1249</v>
      </c>
      <c r="R13" s="2" t="s">
        <v>1250</v>
      </c>
      <c r="S13" s="2" t="s">
        <v>1251</v>
      </c>
      <c r="T13" s="2" t="s">
        <v>1288</v>
      </c>
      <c r="U13" s="2" t="s">
        <v>1289</v>
      </c>
      <c r="V13" s="2" t="s">
        <v>1252</v>
      </c>
      <c r="W13" s="2" t="s">
        <v>988</v>
      </c>
      <c r="X13" s="2" t="s">
        <v>1253</v>
      </c>
      <c r="Y13" s="2" t="s">
        <v>1254</v>
      </c>
      <c r="Z13" s="2" t="s">
        <v>1255</v>
      </c>
      <c r="AA13" s="2" t="s">
        <v>1292</v>
      </c>
      <c r="AB13" s="2" t="s">
        <v>1256</v>
      </c>
      <c r="AC13" s="2" t="s">
        <v>1257</v>
      </c>
      <c r="AD13" s="2" t="s">
        <v>1258</v>
      </c>
      <c r="AE13" s="2" t="s">
        <v>1259</v>
      </c>
      <c r="AF13" s="2" t="s">
        <v>1260</v>
      </c>
      <c r="AG13" s="2" t="s">
        <v>1261</v>
      </c>
      <c r="AH13" s="2" t="s">
        <v>1262</v>
      </c>
      <c r="AI13" s="2" t="s">
        <v>1263</v>
      </c>
      <c r="AJ13" s="2" t="s">
        <v>1273</v>
      </c>
      <c r="AK13" s="2" t="s">
        <v>1290</v>
      </c>
      <c r="AL13" s="2" t="s">
        <v>1264</v>
      </c>
      <c r="AM13" s="2" t="s">
        <v>1265</v>
      </c>
      <c r="AN13" s="2" t="s">
        <v>1266</v>
      </c>
      <c r="AO13" s="2" t="s">
        <v>1267</v>
      </c>
      <c r="AP13" s="2" t="s">
        <v>1269</v>
      </c>
      <c r="AQ13" s="2" t="s">
        <v>1268</v>
      </c>
      <c r="AR13" s="2" t="s">
        <v>1270</v>
      </c>
      <c r="AS13" s="2" t="s">
        <v>1271</v>
      </c>
      <c r="AT13" s="2" t="s">
        <v>1272</v>
      </c>
      <c r="AU13" s="2" t="s">
        <v>1274</v>
      </c>
      <c r="AV13" s="2" t="s">
        <v>1275</v>
      </c>
      <c r="AW13" s="2" t="s">
        <v>1276</v>
      </c>
      <c r="AX13" s="2" t="s">
        <v>1277</v>
      </c>
      <c r="AY13" s="2" t="s">
        <v>1278</v>
      </c>
      <c r="AZ13" s="2" t="s">
        <v>1279</v>
      </c>
      <c r="BA13" s="2" t="s">
        <v>1280</v>
      </c>
      <c r="BB13" s="2" t="s">
        <v>1281</v>
      </c>
      <c r="BC13" s="2" t="s">
        <v>1282</v>
      </c>
      <c r="BD13" s="2" t="s">
        <v>1283</v>
      </c>
      <c r="BE13" s="2" t="s">
        <v>1284</v>
      </c>
      <c r="BF13" s="2" t="s">
        <v>1285</v>
      </c>
      <c r="BG13" s="2" t="s">
        <v>1286</v>
      </c>
      <c r="BH13" s="2" t="s">
        <v>1287</v>
      </c>
      <c r="BJ13" s="2"/>
    </row>
    <row r="14" spans="1:62" ht="30" customHeight="1" x14ac:dyDescent="0.25">
      <c r="A14" s="1" t="s">
        <v>941</v>
      </c>
      <c r="B14" s="1" t="str">
        <f t="shared" si="0"/>
        <v>Los Angeles,  Orange,  Riverside,  San Bernardino</v>
      </c>
      <c r="C14" s="2"/>
      <c r="U14" s="2" t="s">
        <v>1289</v>
      </c>
      <c r="AF14" s="2" t="s">
        <v>1260</v>
      </c>
      <c r="AI14" s="2" t="s">
        <v>1263</v>
      </c>
      <c r="AL14" s="2" t="s">
        <v>1264</v>
      </c>
      <c r="BJ14" s="2"/>
    </row>
    <row r="15" spans="1:62" ht="30" customHeight="1" x14ac:dyDescent="0.25">
      <c r="A15" s="1" t="s">
        <v>122</v>
      </c>
      <c r="B15" s="1" t="str">
        <f t="shared" si="0"/>
        <v>Imperial,  Los Angeles,  Orange,  Riverside,  San Bernardino</v>
      </c>
      <c r="C15" s="2"/>
      <c r="O15" s="2" t="s">
        <v>1247</v>
      </c>
      <c r="U15" s="2" t="s">
        <v>1289</v>
      </c>
      <c r="AF15" s="2" t="s">
        <v>1260</v>
      </c>
      <c r="AI15" s="2" t="s">
        <v>1263</v>
      </c>
      <c r="AL15" s="2" t="s">
        <v>1264</v>
      </c>
      <c r="BJ15" s="2"/>
    </row>
    <row r="16" spans="1:62" ht="30" customHeight="1" x14ac:dyDescent="0.25">
      <c r="A16" s="1" t="s">
        <v>881</v>
      </c>
      <c r="B16" s="1" t="str">
        <f t="shared" si="0"/>
        <v>Fresno,  Kern,  Kings,  Madera,  Merced,  San Joaquin,  San Luis Obispo,  Santa Barbara,  Tulare,  Ventura</v>
      </c>
      <c r="C16" s="2"/>
      <c r="L16" s="2" t="s">
        <v>1242</v>
      </c>
      <c r="Q16" s="2" t="s">
        <v>1249</v>
      </c>
      <c r="R16" s="2" t="s">
        <v>1250</v>
      </c>
      <c r="V16" s="2" t="s">
        <v>1252</v>
      </c>
      <c r="Z16" s="2" t="s">
        <v>1255</v>
      </c>
      <c r="AO16" s="2" t="s">
        <v>1267</v>
      </c>
      <c r="AP16" s="2" t="s">
        <v>1269</v>
      </c>
      <c r="AR16" s="2" t="s">
        <v>1270</v>
      </c>
      <c r="BD16" s="2" t="s">
        <v>1283</v>
      </c>
      <c r="BF16" s="2" t="s">
        <v>1285</v>
      </c>
      <c r="BJ16" s="2"/>
    </row>
    <row r="17" spans="1:62" ht="30" customHeight="1" x14ac:dyDescent="0.25">
      <c r="A17" s="1" t="s">
        <v>936</v>
      </c>
      <c r="B17" s="1" t="str">
        <f t="shared" si="0"/>
        <v>Los Angeles,  Orange,  San Diego</v>
      </c>
      <c r="C17" s="2"/>
      <c r="U17" s="2" t="s">
        <v>1289</v>
      </c>
      <c r="AF17" s="2" t="s">
        <v>1260</v>
      </c>
      <c r="AM17" s="2" t="s">
        <v>1265</v>
      </c>
      <c r="BJ17" s="2"/>
    </row>
    <row r="18" spans="1:62" ht="30" customHeight="1" x14ac:dyDescent="0.25">
      <c r="A18" s="1" t="s">
        <v>87</v>
      </c>
      <c r="B18" s="1" t="str">
        <f t="shared" si="0"/>
        <v>Alameda,  Contra Costa,  El Dorado,  Fresno,  Lassen,  Marin,  Napa,  Placer,  Sacramento,  San Francisco,  Solano,  Sonoma,  Yolo</v>
      </c>
      <c r="C18" s="2" t="s">
        <v>1236</v>
      </c>
      <c r="I18" s="2" t="s">
        <v>1245</v>
      </c>
      <c r="K18" s="2" t="s">
        <v>1241</v>
      </c>
      <c r="L18" s="2" t="s">
        <v>1242</v>
      </c>
      <c r="T18" s="2" t="s">
        <v>1288</v>
      </c>
      <c r="W18" s="2" t="s">
        <v>988</v>
      </c>
      <c r="AD18" s="2" t="s">
        <v>1258</v>
      </c>
      <c r="AG18" s="2" t="s">
        <v>1261</v>
      </c>
      <c r="AJ18" s="2" t="s">
        <v>1273</v>
      </c>
      <c r="AN18" s="2" t="s">
        <v>1266</v>
      </c>
      <c r="AX18" s="2" t="s">
        <v>1277</v>
      </c>
      <c r="AY18" s="2" t="s">
        <v>1278</v>
      </c>
      <c r="BG18" s="2" t="s">
        <v>1286</v>
      </c>
      <c r="BJ18" s="2"/>
    </row>
    <row r="19" spans="1:62" ht="30" customHeight="1" x14ac:dyDescent="0.25">
      <c r="A19" s="1" t="s">
        <v>427</v>
      </c>
      <c r="B19" s="1" t="str">
        <f t="shared" si="0"/>
        <v>Fresno,  Humboldt,  Imperial,  Inyo,  Kern,  Lassen,  Los Angeles,  Marin,  Mariposa,  Mendocino,  Merced,  Mono,  Monterey,  Napa,  Orange,  Riverside,  Sacramento,  San Bernardino,  San Diego,  San Francisco,  San Joaquin,  San Luis Obispo,  San Mateo,  Santa Barbara,  Santa Clara,  Santa Cruz,  Shasta,  Sonoma,  Stanislaus,  Ventura</v>
      </c>
      <c r="C19" s="2"/>
      <c r="L19" s="2" t="s">
        <v>1242</v>
      </c>
      <c r="N19" s="2" t="s">
        <v>1246</v>
      </c>
      <c r="O19" s="2" t="s">
        <v>1247</v>
      </c>
      <c r="P19" s="2" t="s">
        <v>1248</v>
      </c>
      <c r="Q19" s="2" t="s">
        <v>1249</v>
      </c>
      <c r="T19" s="2" t="s">
        <v>1288</v>
      </c>
      <c r="U19" s="2" t="s">
        <v>1289</v>
      </c>
      <c r="W19" s="2" t="s">
        <v>988</v>
      </c>
      <c r="X19" s="2" t="s">
        <v>1253</v>
      </c>
      <c r="Y19" s="2" t="s">
        <v>1254</v>
      </c>
      <c r="Z19" s="2" t="s">
        <v>1255</v>
      </c>
      <c r="AB19" s="2" t="s">
        <v>1256</v>
      </c>
      <c r="AC19" s="2" t="s">
        <v>1257</v>
      </c>
      <c r="AD19" s="2" t="s">
        <v>1258</v>
      </c>
      <c r="AF19" s="2" t="s">
        <v>1260</v>
      </c>
      <c r="AI19" s="2" t="s">
        <v>1263</v>
      </c>
      <c r="AJ19" s="2" t="s">
        <v>1273</v>
      </c>
      <c r="AL19" s="2" t="s">
        <v>1264</v>
      </c>
      <c r="AM19" s="2" t="s">
        <v>1265</v>
      </c>
      <c r="AN19" s="2" t="s">
        <v>1266</v>
      </c>
      <c r="AO19" s="2" t="s">
        <v>1267</v>
      </c>
      <c r="AP19" s="2" t="s">
        <v>1269</v>
      </c>
      <c r="AQ19" s="2" t="s">
        <v>1268</v>
      </c>
      <c r="AR19" s="2" t="s">
        <v>1270</v>
      </c>
      <c r="AS19" s="2" t="s">
        <v>1271</v>
      </c>
      <c r="AT19" s="2" t="s">
        <v>1272</v>
      </c>
      <c r="AU19" s="2" t="s">
        <v>1274</v>
      </c>
      <c r="AY19" s="2" t="s">
        <v>1278</v>
      </c>
      <c r="AZ19" s="2" t="s">
        <v>1279</v>
      </c>
      <c r="BF19" s="2" t="s">
        <v>1285</v>
      </c>
      <c r="BJ19" s="2"/>
    </row>
    <row r="20" spans="1:62" ht="30" customHeight="1" x14ac:dyDescent="0.25">
      <c r="A20" s="1" t="s">
        <v>915</v>
      </c>
      <c r="B20" s="1" t="str">
        <f t="shared" si="0"/>
        <v>Alameda,  Amador,  Butte,  Calaveras,  Colusa,  Contra Costa,  El Dorado,  Fresno,  Glenn,  Humboldt,  Inyo,  Kern,  Kings,  Lake,  Lassen,  Los Angeles,  Madera,  Marin,  Mariposa,  Mendocino,  Merced,  Mono,  Napa,  Nevada,  Orange,  Placer,  Plumas,  Riverside,  Sacramento,  San Benito,  San Bernardino,  San Diego,  San Francisco,  San Joaquin,  San Luis Obispo,  San Mateo,  Santa Barbara,  Santa Clara,  Shasta,  Sierra,  Siskiyou,  Solano,  Sonoma,  Stanislaus,  Sutter,  Tehama,  Trinity,  Tulare,  Tuolumne,  Ventura,  Yolo,  Yuba</v>
      </c>
      <c r="C20" s="2" t="s">
        <v>1236</v>
      </c>
      <c r="E20" s="2" t="s">
        <v>1238</v>
      </c>
      <c r="F20" s="2" t="s">
        <v>1239</v>
      </c>
      <c r="G20" s="2" t="s">
        <v>1240</v>
      </c>
      <c r="H20" s="2" t="s">
        <v>1244</v>
      </c>
      <c r="I20" s="2" t="s">
        <v>1245</v>
      </c>
      <c r="K20" s="2" t="s">
        <v>1241</v>
      </c>
      <c r="L20" s="2" t="s">
        <v>1242</v>
      </c>
      <c r="M20" s="2" t="s">
        <v>1243</v>
      </c>
      <c r="N20" s="2" t="s">
        <v>1246</v>
      </c>
      <c r="P20" s="2" t="s">
        <v>1248</v>
      </c>
      <c r="Q20" s="2" t="s">
        <v>1249</v>
      </c>
      <c r="R20" s="2" t="s">
        <v>1250</v>
      </c>
      <c r="S20" s="2" t="s">
        <v>1251</v>
      </c>
      <c r="T20" s="2" t="s">
        <v>1288</v>
      </c>
      <c r="U20" s="2" t="s">
        <v>1289</v>
      </c>
      <c r="V20" s="2" t="s">
        <v>1252</v>
      </c>
      <c r="W20" s="2" t="s">
        <v>988</v>
      </c>
      <c r="X20" s="2" t="s">
        <v>1253</v>
      </c>
      <c r="Y20" s="2" t="s">
        <v>1254</v>
      </c>
      <c r="Z20" s="2" t="s">
        <v>1255</v>
      </c>
      <c r="AB20" s="2" t="s">
        <v>1256</v>
      </c>
      <c r="AD20" s="2" t="s">
        <v>1258</v>
      </c>
      <c r="AE20" s="2" t="s">
        <v>1259</v>
      </c>
      <c r="AF20" s="2" t="s">
        <v>1260</v>
      </c>
      <c r="AG20" s="2" t="s">
        <v>1261</v>
      </c>
      <c r="AH20" s="2" t="s">
        <v>1262</v>
      </c>
      <c r="AI20" s="2" t="s">
        <v>1263</v>
      </c>
      <c r="AJ20" s="2" t="s">
        <v>1273</v>
      </c>
      <c r="AK20" s="2" t="s">
        <v>1290</v>
      </c>
      <c r="AL20" s="2" t="s">
        <v>1264</v>
      </c>
      <c r="AM20" s="2" t="s">
        <v>1265</v>
      </c>
      <c r="AN20" s="2" t="s">
        <v>1266</v>
      </c>
      <c r="AO20" s="2" t="s">
        <v>1267</v>
      </c>
      <c r="AP20" s="2" t="s">
        <v>1269</v>
      </c>
      <c r="AQ20" s="2" t="s">
        <v>1268</v>
      </c>
      <c r="AR20" s="2" t="s">
        <v>1270</v>
      </c>
      <c r="AS20" s="2" t="s">
        <v>1271</v>
      </c>
      <c r="AU20" s="2" t="s">
        <v>1274</v>
      </c>
      <c r="AV20" s="2" t="s">
        <v>1275</v>
      </c>
      <c r="AW20" s="2" t="s">
        <v>1276</v>
      </c>
      <c r="AX20" s="2" t="s">
        <v>1277</v>
      </c>
      <c r="AY20" s="2" t="s">
        <v>1278</v>
      </c>
      <c r="AZ20" s="2" t="s">
        <v>1279</v>
      </c>
      <c r="BA20" s="2" t="s">
        <v>1280</v>
      </c>
      <c r="BB20" s="2" t="s">
        <v>1281</v>
      </c>
      <c r="BC20" s="2" t="s">
        <v>1282</v>
      </c>
      <c r="BD20" s="2" t="s">
        <v>1283</v>
      </c>
      <c r="BE20" s="2" t="s">
        <v>1284</v>
      </c>
      <c r="BF20" s="2" t="s">
        <v>1285</v>
      </c>
      <c r="BG20" s="2" t="s">
        <v>1286</v>
      </c>
      <c r="BH20" s="2" t="s">
        <v>1287</v>
      </c>
      <c r="BJ20" s="2"/>
    </row>
    <row r="21" spans="1:62" ht="30" customHeight="1" x14ac:dyDescent="0.25">
      <c r="A21" s="1" t="s">
        <v>383</v>
      </c>
      <c r="B21" s="1" t="str">
        <f t="shared" si="0"/>
        <v>Lake,  Marin,  Mendocino,  Napa,  Sonoma</v>
      </c>
      <c r="C21" s="2"/>
      <c r="S21" s="2" t="s">
        <v>1251</v>
      </c>
      <c r="W21" s="2" t="s">
        <v>988</v>
      </c>
      <c r="Y21" s="2" t="s">
        <v>1254</v>
      </c>
      <c r="AD21" s="2" t="s">
        <v>1258</v>
      </c>
      <c r="AY21" s="2" t="s">
        <v>1278</v>
      </c>
      <c r="BJ21" s="2"/>
    </row>
    <row r="22" spans="1:62" ht="30" customHeight="1" x14ac:dyDescent="0.25">
      <c r="A22" s="1" t="s">
        <v>293</v>
      </c>
      <c r="B22" s="1" t="str">
        <f t="shared" si="0"/>
        <v>Los Angeles,  Orange,  San Bernardino,  Ventura</v>
      </c>
      <c r="C22" s="2"/>
      <c r="U22" s="2" t="s">
        <v>1289</v>
      </c>
      <c r="AF22" s="2" t="s">
        <v>1260</v>
      </c>
      <c r="AL22" s="2" t="s">
        <v>1264</v>
      </c>
      <c r="BF22" s="2" t="s">
        <v>1285</v>
      </c>
      <c r="BJ22" s="2"/>
    </row>
    <row r="23" spans="1:62" ht="30" customHeight="1" x14ac:dyDescent="0.25">
      <c r="A23" s="1" t="s">
        <v>401</v>
      </c>
      <c r="B23" s="1" t="str">
        <f t="shared" si="0"/>
        <v>Alameda,  Amador,  Butte,  Calaveras,  Colusa,  Contra Costa,  El Dorado,  Napa,  Nevada,  Placer,  Plumas,  Sacramento,  San Joaquin,  Solano,  Sutter,  Yolo,  Yuba</v>
      </c>
      <c r="C23" s="2" t="s">
        <v>1236</v>
      </c>
      <c r="E23" s="2" t="s">
        <v>1238</v>
      </c>
      <c r="F23" s="2" t="s">
        <v>1239</v>
      </c>
      <c r="G23" s="2" t="s">
        <v>1240</v>
      </c>
      <c r="H23" s="2" t="s">
        <v>1244</v>
      </c>
      <c r="I23" s="2" t="s">
        <v>1245</v>
      </c>
      <c r="K23" s="2" t="s">
        <v>1241</v>
      </c>
      <c r="AD23" s="2" t="s">
        <v>1258</v>
      </c>
      <c r="AE23" s="2" t="s">
        <v>1259</v>
      </c>
      <c r="AG23" s="2" t="s">
        <v>1261</v>
      </c>
      <c r="AH23" s="2" t="s">
        <v>1262</v>
      </c>
      <c r="AJ23" s="2" t="s">
        <v>1273</v>
      </c>
      <c r="AO23" s="2" t="s">
        <v>1267</v>
      </c>
      <c r="AX23" s="2" t="s">
        <v>1277</v>
      </c>
      <c r="BA23" s="2" t="s">
        <v>1280</v>
      </c>
      <c r="BG23" s="2" t="s">
        <v>1286</v>
      </c>
      <c r="BH23" s="2" t="s">
        <v>1287</v>
      </c>
      <c r="BJ23" s="2"/>
    </row>
    <row r="24" spans="1:62" ht="30" customHeight="1" x14ac:dyDescent="0.25">
      <c r="A24" s="1" t="s">
        <v>471</v>
      </c>
      <c r="B24" s="1" t="str">
        <f t="shared" si="0"/>
        <v>Lassen,  Shasta,  Siskiyou,  Tehama,  Trinity</v>
      </c>
      <c r="C24" s="2"/>
      <c r="T24" s="2" t="s">
        <v>1288</v>
      </c>
      <c r="AU24" s="2" t="s">
        <v>1274</v>
      </c>
      <c r="AW24" s="2" t="s">
        <v>1276</v>
      </c>
      <c r="BB24" s="2" t="s">
        <v>1281</v>
      </c>
      <c r="BC24" s="2" t="s">
        <v>1282</v>
      </c>
      <c r="BJ24" s="2"/>
    </row>
    <row r="25" spans="1:62" ht="30" customHeight="1" x14ac:dyDescent="0.25">
      <c r="A25" s="1" t="s">
        <v>883</v>
      </c>
      <c r="B25" s="1" t="str">
        <f t="shared" si="0"/>
        <v>Fresno,  Imperial,  Inyo,  Kern,  Kings,  Los Angeles,  Nevada,  Orange,  Riverside,  San Bernardino,  San Diego,  San Joaquin,  San Luis Obispo,  Santa Barbara,  Tulare,  Ventura</v>
      </c>
      <c r="C25" s="2"/>
      <c r="L25" s="2" t="s">
        <v>1242</v>
      </c>
      <c r="O25" s="2" t="s">
        <v>1247</v>
      </c>
      <c r="P25" s="2" t="s">
        <v>1248</v>
      </c>
      <c r="Q25" s="2" t="s">
        <v>1249</v>
      </c>
      <c r="R25" s="2" t="s">
        <v>1250</v>
      </c>
      <c r="U25" s="2" t="s">
        <v>1289</v>
      </c>
      <c r="AE25" s="2" t="s">
        <v>1259</v>
      </c>
      <c r="AF25" s="2" t="s">
        <v>1260</v>
      </c>
      <c r="AI25" s="2" t="s">
        <v>1263</v>
      </c>
      <c r="AL25" s="2" t="s">
        <v>1264</v>
      </c>
      <c r="AM25" s="2" t="s">
        <v>1265</v>
      </c>
      <c r="AO25" s="2" t="s">
        <v>1267</v>
      </c>
      <c r="AP25" s="2" t="s">
        <v>1269</v>
      </c>
      <c r="AR25" s="2" t="s">
        <v>1270</v>
      </c>
      <c r="BD25" s="2" t="s">
        <v>1283</v>
      </c>
      <c r="BF25" s="2" t="s">
        <v>1285</v>
      </c>
      <c r="BJ25" s="2"/>
    </row>
    <row r="26" spans="1:62" ht="30" customHeight="1" x14ac:dyDescent="0.25">
      <c r="A26" s="1" t="s">
        <v>360</v>
      </c>
      <c r="B26" s="1" t="str">
        <f t="shared" si="0"/>
        <v>Orange,  Riverside,  San Diego</v>
      </c>
      <c r="C26" s="2"/>
      <c r="AF26" s="2" t="s">
        <v>1260</v>
      </c>
      <c r="AI26" s="2" t="s">
        <v>1263</v>
      </c>
      <c r="AM26" s="2" t="s">
        <v>1265</v>
      </c>
      <c r="BJ26" s="2"/>
    </row>
    <row r="27" spans="1:62" ht="30" customHeight="1" x14ac:dyDescent="0.25">
      <c r="A27" s="1" t="s">
        <v>942</v>
      </c>
      <c r="B27" s="1" t="str">
        <f t="shared" si="0"/>
        <v>Los Angeles,  Orange,  Riverside,  San Bernardino,  San Diego</v>
      </c>
      <c r="C27" s="2"/>
      <c r="U27" s="2" t="s">
        <v>1289</v>
      </c>
      <c r="AF27" s="2" t="s">
        <v>1260</v>
      </c>
      <c r="AI27" s="2" t="s">
        <v>1263</v>
      </c>
      <c r="AL27" s="2" t="s">
        <v>1264</v>
      </c>
      <c r="AM27" s="2" t="s">
        <v>1265</v>
      </c>
      <c r="BJ27" s="2"/>
    </row>
    <row r="28" spans="1:62" ht="30" customHeight="1" x14ac:dyDescent="0.25">
      <c r="A28" s="1" t="s">
        <v>366</v>
      </c>
      <c r="B28" s="1" t="str">
        <f t="shared" si="0"/>
        <v>Inyo,  Mono</v>
      </c>
      <c r="C28" s="2"/>
      <c r="P28" s="2" t="s">
        <v>1248</v>
      </c>
      <c r="AB28" s="2" t="s">
        <v>1256</v>
      </c>
      <c r="BJ28" s="2"/>
    </row>
    <row r="29" spans="1:62" ht="30" customHeight="1" x14ac:dyDescent="0.25">
      <c r="A29" s="1" t="s">
        <v>553</v>
      </c>
      <c r="B29" s="1" t="str">
        <f t="shared" si="0"/>
        <v>Los Angeles,  Orange,  Riverside,  San Bernardino,  San Diego</v>
      </c>
      <c r="C29" s="2"/>
      <c r="U29" s="2" t="s">
        <v>1289</v>
      </c>
      <c r="AF29" s="2" t="s">
        <v>1260</v>
      </c>
      <c r="AI29" s="2" t="s">
        <v>1263</v>
      </c>
      <c r="AL29" s="2" t="s">
        <v>1264</v>
      </c>
      <c r="AM29" s="2" t="s">
        <v>1265</v>
      </c>
      <c r="BJ29" s="2"/>
    </row>
    <row r="30" spans="1:62" ht="30" customHeight="1" x14ac:dyDescent="0.25">
      <c r="A30" s="1" t="s">
        <v>943</v>
      </c>
      <c r="B30" s="1" t="str">
        <f t="shared" si="0"/>
        <v>Fresno,  Kern,  Kings,  Los Angeles,  Monterey,  Orange,  San Benito,  San Diego,  San Francisco,  San Joaquin,  San Luis Obispo,  Santa Barbara,  Tulare,  Ventura</v>
      </c>
      <c r="C30" s="2"/>
      <c r="L30" s="2" t="s">
        <v>1242</v>
      </c>
      <c r="Q30" s="2" t="s">
        <v>1249</v>
      </c>
      <c r="R30" s="2" t="s">
        <v>1250</v>
      </c>
      <c r="U30" s="2" t="s">
        <v>1289</v>
      </c>
      <c r="AC30" s="2" t="s">
        <v>1257</v>
      </c>
      <c r="AF30" s="2" t="s">
        <v>1260</v>
      </c>
      <c r="AK30" s="2" t="s">
        <v>1290</v>
      </c>
      <c r="AM30" s="2" t="s">
        <v>1265</v>
      </c>
      <c r="AN30" s="2" t="s">
        <v>1266</v>
      </c>
      <c r="AO30" s="2" t="s">
        <v>1267</v>
      </c>
      <c r="AP30" s="2" t="s">
        <v>1269</v>
      </c>
      <c r="AR30" s="2" t="s">
        <v>1270</v>
      </c>
      <c r="BD30" s="2" t="s">
        <v>1283</v>
      </c>
      <c r="BF30" s="2" t="s">
        <v>1285</v>
      </c>
      <c r="BJ30" s="2"/>
    </row>
    <row r="31" spans="1:62" ht="30" customHeight="1" x14ac:dyDescent="0.25">
      <c r="A31" s="1" t="s">
        <v>1232</v>
      </c>
      <c r="B31" s="1" t="str">
        <f t="shared" si="0"/>
        <v>Los Angeles,  Orange,  Santa Barbara,  Ventura</v>
      </c>
      <c r="C31" s="2"/>
      <c r="U31" s="2" t="s">
        <v>1289</v>
      </c>
      <c r="AF31" s="2" t="s">
        <v>1260</v>
      </c>
      <c r="AR31" s="2" t="s">
        <v>1270</v>
      </c>
      <c r="BF31" s="2" t="s">
        <v>1285</v>
      </c>
      <c r="BJ31" s="2"/>
    </row>
    <row r="32" spans="1:62" ht="30" customHeight="1" x14ac:dyDescent="0.25">
      <c r="A32" s="1" t="s">
        <v>928</v>
      </c>
      <c r="B32" s="1" t="str">
        <f t="shared" si="0"/>
        <v>Alameda,  Contra Costa,  Monterey,  San Benito,  San Francisco,  San Luis Obispo,  Santa Barbara,  Santa Clara,  Santa Cruz</v>
      </c>
      <c r="C32" s="2" t="s">
        <v>1236</v>
      </c>
      <c r="I32" s="2" t="s">
        <v>1245</v>
      </c>
      <c r="AC32" s="2" t="s">
        <v>1257</v>
      </c>
      <c r="AK32" s="2" t="s">
        <v>1290</v>
      </c>
      <c r="AN32" s="2" t="s">
        <v>1266</v>
      </c>
      <c r="AP32" s="2" t="s">
        <v>1269</v>
      </c>
      <c r="AR32" s="2" t="s">
        <v>1270</v>
      </c>
      <c r="AS32" s="2" t="s">
        <v>1271</v>
      </c>
      <c r="AT32" s="2" t="s">
        <v>1272</v>
      </c>
      <c r="BJ32" s="2"/>
    </row>
    <row r="33" spans="1:62" ht="30" customHeight="1" x14ac:dyDescent="0.25">
      <c r="A33" s="1" t="s">
        <v>549</v>
      </c>
      <c r="B33" s="1" t="str">
        <f t="shared" si="0"/>
        <v>Los Angeles,  Orange,  Riverside,  San Bernardino,  San Diego</v>
      </c>
      <c r="C33" s="2"/>
      <c r="U33" s="2" t="s">
        <v>1289</v>
      </c>
      <c r="AF33" s="2" t="s">
        <v>1260</v>
      </c>
      <c r="AI33" s="2" t="s">
        <v>1263</v>
      </c>
      <c r="AL33" s="2" t="s">
        <v>1264</v>
      </c>
      <c r="AM33" s="2" t="s">
        <v>1265</v>
      </c>
      <c r="BJ33" s="2"/>
    </row>
    <row r="34" spans="1:62" ht="30" customHeight="1" x14ac:dyDescent="0.25">
      <c r="A34" s="1" t="s">
        <v>202</v>
      </c>
      <c r="B34"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34" s="2" t="s">
        <v>1236</v>
      </c>
      <c r="D34" s="2" t="s">
        <v>1237</v>
      </c>
      <c r="E34" s="2" t="s">
        <v>1238</v>
      </c>
      <c r="F34" s="2" t="s">
        <v>1239</v>
      </c>
      <c r="G34" s="2" t="s">
        <v>1240</v>
      </c>
      <c r="H34" s="2" t="s">
        <v>1244</v>
      </c>
      <c r="I34" s="2" t="s">
        <v>1245</v>
      </c>
      <c r="J34" s="2" t="s">
        <v>1291</v>
      </c>
      <c r="K34" s="2" t="s">
        <v>1241</v>
      </c>
      <c r="L34" s="2" t="s">
        <v>1242</v>
      </c>
      <c r="M34" s="2" t="s">
        <v>1243</v>
      </c>
      <c r="N34" s="2" t="s">
        <v>1246</v>
      </c>
      <c r="O34" s="2" t="s">
        <v>1247</v>
      </c>
      <c r="P34" s="2" t="s">
        <v>1248</v>
      </c>
      <c r="Q34" s="2" t="s">
        <v>1249</v>
      </c>
      <c r="R34" s="2" t="s">
        <v>1250</v>
      </c>
      <c r="S34" s="2" t="s">
        <v>1251</v>
      </c>
      <c r="T34" s="2" t="s">
        <v>1288</v>
      </c>
      <c r="U34" s="2" t="s">
        <v>1289</v>
      </c>
      <c r="V34" s="2" t="s">
        <v>1252</v>
      </c>
      <c r="W34" s="2" t="s">
        <v>988</v>
      </c>
      <c r="X34" s="2" t="s">
        <v>1253</v>
      </c>
      <c r="Y34" s="2" t="s">
        <v>1254</v>
      </c>
      <c r="Z34" s="2" t="s">
        <v>1255</v>
      </c>
      <c r="AA34" s="2" t="s">
        <v>1292</v>
      </c>
      <c r="AB34" s="2" t="s">
        <v>1256</v>
      </c>
      <c r="AC34" s="2" t="s">
        <v>1257</v>
      </c>
      <c r="AD34" s="2" t="s">
        <v>1258</v>
      </c>
      <c r="AE34" s="2" t="s">
        <v>1259</v>
      </c>
      <c r="AF34" s="2" t="s">
        <v>1260</v>
      </c>
      <c r="AG34" s="2" t="s">
        <v>1261</v>
      </c>
      <c r="AH34" s="2" t="s">
        <v>1262</v>
      </c>
      <c r="AI34" s="2" t="s">
        <v>1263</v>
      </c>
      <c r="AJ34" s="2" t="s">
        <v>1273</v>
      </c>
      <c r="AK34" s="2" t="s">
        <v>1290</v>
      </c>
      <c r="AL34" s="2" t="s">
        <v>1264</v>
      </c>
      <c r="AM34" s="2" t="s">
        <v>1265</v>
      </c>
      <c r="AN34" s="2" t="s">
        <v>1266</v>
      </c>
      <c r="AO34" s="2" t="s">
        <v>1267</v>
      </c>
      <c r="AP34" s="2" t="s">
        <v>1269</v>
      </c>
      <c r="AQ34" s="2" t="s">
        <v>1268</v>
      </c>
      <c r="AR34" s="2" t="s">
        <v>1270</v>
      </c>
      <c r="AS34" s="2" t="s">
        <v>1271</v>
      </c>
      <c r="AT34" s="2" t="s">
        <v>1272</v>
      </c>
      <c r="AU34" s="2" t="s">
        <v>1274</v>
      </c>
      <c r="AV34" s="2" t="s">
        <v>1275</v>
      </c>
      <c r="AW34" s="2" t="s">
        <v>1276</v>
      </c>
      <c r="AX34" s="2" t="s">
        <v>1277</v>
      </c>
      <c r="AY34" s="2" t="s">
        <v>1278</v>
      </c>
      <c r="AZ34" s="2" t="s">
        <v>1279</v>
      </c>
      <c r="BA34" s="2" t="s">
        <v>1280</v>
      </c>
      <c r="BB34" s="2" t="s">
        <v>1281</v>
      </c>
      <c r="BC34" s="2" t="s">
        <v>1282</v>
      </c>
      <c r="BD34" s="2" t="s">
        <v>1283</v>
      </c>
      <c r="BE34" s="2" t="s">
        <v>1284</v>
      </c>
      <c r="BF34" s="2" t="s">
        <v>1285</v>
      </c>
      <c r="BG34" s="2" t="s">
        <v>1286</v>
      </c>
      <c r="BH34" s="2" t="s">
        <v>1287</v>
      </c>
      <c r="BJ34" s="2"/>
    </row>
    <row r="35" spans="1:62" ht="30" customHeight="1" x14ac:dyDescent="0.25">
      <c r="A35" s="1" t="s">
        <v>851</v>
      </c>
      <c r="B35" s="1" t="str">
        <f t="shared" si="0"/>
        <v>Santa Barbara,  Ventura</v>
      </c>
      <c r="C35" s="2"/>
      <c r="AR35" s="2" t="s">
        <v>1270</v>
      </c>
      <c r="BF35" s="2" t="s">
        <v>1285</v>
      </c>
      <c r="BJ35" s="2"/>
    </row>
    <row r="36" spans="1:62" ht="30" customHeight="1" x14ac:dyDescent="0.25">
      <c r="A36" s="1" t="s">
        <v>882</v>
      </c>
      <c r="B36" s="1" t="str">
        <f t="shared" si="0"/>
        <v>Butte,  El Dorado,  Napa,  Nevada,  Placer,  Sacramento,  Sierra,  Yuba</v>
      </c>
      <c r="C36" s="2"/>
      <c r="F36" s="2" t="s">
        <v>1239</v>
      </c>
      <c r="K36" s="2" t="s">
        <v>1241</v>
      </c>
      <c r="AD36" s="2" t="s">
        <v>1258</v>
      </c>
      <c r="AE36" s="2" t="s">
        <v>1259</v>
      </c>
      <c r="AG36" s="2" t="s">
        <v>1261</v>
      </c>
      <c r="AJ36" s="2" t="s">
        <v>1273</v>
      </c>
      <c r="AV36" s="2" t="s">
        <v>1275</v>
      </c>
      <c r="BH36" s="2" t="s">
        <v>1287</v>
      </c>
      <c r="BJ36" s="2"/>
    </row>
    <row r="37" spans="1:62" ht="30" customHeight="1" x14ac:dyDescent="0.25">
      <c r="A37" s="1" t="s">
        <v>217</v>
      </c>
      <c r="B37" s="1" t="str">
        <f t="shared" si="0"/>
        <v>Amador,  Calaveras,  Fresno,  Kern,  Kings,  Los Angeles,  Madera,  Merced,  Monterey,  Sacramento,  San Bernardino,  San Joaquin,  San Luis Obispo,  Santa Clara,  Solano,  Stanislaus,  Tulare,  Tuolumne,  Ventura</v>
      </c>
      <c r="C37" s="2"/>
      <c r="E37" s="2" t="s">
        <v>1238</v>
      </c>
      <c r="G37" s="2" t="s">
        <v>1240</v>
      </c>
      <c r="L37" s="2" t="s">
        <v>1242</v>
      </c>
      <c r="Q37" s="2" t="s">
        <v>1249</v>
      </c>
      <c r="R37" s="2" t="s">
        <v>1250</v>
      </c>
      <c r="U37" s="2" t="s">
        <v>1289</v>
      </c>
      <c r="V37" s="2" t="s">
        <v>1252</v>
      </c>
      <c r="Z37" s="2" t="s">
        <v>1255</v>
      </c>
      <c r="AC37" s="2" t="s">
        <v>1257</v>
      </c>
      <c r="AJ37" s="2" t="s">
        <v>1273</v>
      </c>
      <c r="AL37" s="2" t="s">
        <v>1264</v>
      </c>
      <c r="AO37" s="2" t="s">
        <v>1267</v>
      </c>
      <c r="AP37" s="2" t="s">
        <v>1269</v>
      </c>
      <c r="AS37" s="2" t="s">
        <v>1271</v>
      </c>
      <c r="AX37" s="2" t="s">
        <v>1277</v>
      </c>
      <c r="AZ37" s="2" t="s">
        <v>1279</v>
      </c>
      <c r="BD37" s="2" t="s">
        <v>1283</v>
      </c>
      <c r="BE37" s="2" t="s">
        <v>1284</v>
      </c>
      <c r="BF37" s="2" t="s">
        <v>1285</v>
      </c>
      <c r="BJ37" s="2"/>
    </row>
    <row r="38" spans="1:62" ht="30" customHeight="1" x14ac:dyDescent="0.25">
      <c r="A38" s="1" t="s">
        <v>463</v>
      </c>
      <c r="B38" s="1" t="str">
        <f t="shared" si="0"/>
        <v>Los Angeles,  Santa Barbara,  Ventura</v>
      </c>
      <c r="C38" s="2"/>
      <c r="U38" s="2" t="s">
        <v>1289</v>
      </c>
      <c r="AR38" s="2" t="s">
        <v>1270</v>
      </c>
      <c r="BF38" s="2" t="s">
        <v>1285</v>
      </c>
      <c r="BJ38" s="2"/>
    </row>
    <row r="39" spans="1:62" ht="30" customHeight="1" x14ac:dyDescent="0.25">
      <c r="A39" s="1" t="s">
        <v>505</v>
      </c>
      <c r="B39" s="1" t="str">
        <f t="shared" si="0"/>
        <v>Amador,  Butte,  Colusa,  El Dorado,  Nevada,  Placer,  Plumas,  Sierra,  Sutter,  Yuba</v>
      </c>
      <c r="C39" s="2"/>
      <c r="E39" s="1" t="s">
        <v>1238</v>
      </c>
      <c r="F39" s="2" t="s">
        <v>1239</v>
      </c>
      <c r="H39" s="2" t="s">
        <v>1244</v>
      </c>
      <c r="K39" s="2" t="s">
        <v>1241</v>
      </c>
      <c r="AE39" s="2" t="s">
        <v>1259</v>
      </c>
      <c r="AG39" s="2" t="s">
        <v>1261</v>
      </c>
      <c r="AH39" s="2" t="s">
        <v>1262</v>
      </c>
      <c r="AV39" s="2" t="s">
        <v>1275</v>
      </c>
      <c r="BA39" s="2" t="s">
        <v>1280</v>
      </c>
      <c r="BH39" s="2" t="s">
        <v>1287</v>
      </c>
      <c r="BJ39" s="2"/>
    </row>
    <row r="40" spans="1:62" ht="30" customHeight="1" x14ac:dyDescent="0.25">
      <c r="A40" s="1" t="s">
        <v>497</v>
      </c>
      <c r="B40"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0" s="2" t="s">
        <v>1236</v>
      </c>
      <c r="D40" s="2" t="s">
        <v>1237</v>
      </c>
      <c r="E40" s="2" t="s">
        <v>1238</v>
      </c>
      <c r="F40" s="2" t="s">
        <v>1239</v>
      </c>
      <c r="G40" s="2" t="s">
        <v>1240</v>
      </c>
      <c r="H40" s="2" t="s">
        <v>1244</v>
      </c>
      <c r="I40" s="2" t="s">
        <v>1245</v>
      </c>
      <c r="J40" s="2" t="s">
        <v>1291</v>
      </c>
      <c r="K40" s="2" t="s">
        <v>1241</v>
      </c>
      <c r="L40" s="2" t="s">
        <v>1242</v>
      </c>
      <c r="M40" s="2" t="s">
        <v>1243</v>
      </c>
      <c r="N40" s="2" t="s">
        <v>1246</v>
      </c>
      <c r="O40" s="2" t="s">
        <v>1247</v>
      </c>
      <c r="P40" s="2" t="s">
        <v>1248</v>
      </c>
      <c r="Q40" s="2" t="s">
        <v>1249</v>
      </c>
      <c r="R40" s="2" t="s">
        <v>1250</v>
      </c>
      <c r="S40" s="2" t="s">
        <v>1251</v>
      </c>
      <c r="T40" s="2" t="s">
        <v>1288</v>
      </c>
      <c r="U40" s="2" t="s">
        <v>1289</v>
      </c>
      <c r="V40" s="2" t="s">
        <v>1252</v>
      </c>
      <c r="W40" s="2" t="s">
        <v>988</v>
      </c>
      <c r="X40" s="2" t="s">
        <v>1253</v>
      </c>
      <c r="Y40" s="2" t="s">
        <v>1254</v>
      </c>
      <c r="Z40" s="2" t="s">
        <v>1255</v>
      </c>
      <c r="AA40" s="2" t="s">
        <v>1292</v>
      </c>
      <c r="AB40" s="2" t="s">
        <v>1256</v>
      </c>
      <c r="AC40" s="2" t="s">
        <v>1257</v>
      </c>
      <c r="AD40" s="2" t="s">
        <v>1258</v>
      </c>
      <c r="AE40" s="2" t="s">
        <v>1259</v>
      </c>
      <c r="AF40" s="2" t="s">
        <v>1260</v>
      </c>
      <c r="AG40" s="2" t="s">
        <v>1261</v>
      </c>
      <c r="AH40" s="2" t="s">
        <v>1262</v>
      </c>
      <c r="AI40" s="2" t="s">
        <v>1263</v>
      </c>
      <c r="AJ40" s="2" t="s">
        <v>1273</v>
      </c>
      <c r="AK40" s="2" t="s">
        <v>1290</v>
      </c>
      <c r="AL40" s="2" t="s">
        <v>1264</v>
      </c>
      <c r="AM40" s="2" t="s">
        <v>1265</v>
      </c>
      <c r="AN40" s="2" t="s">
        <v>1266</v>
      </c>
      <c r="AO40" s="2" t="s">
        <v>1267</v>
      </c>
      <c r="AP40" s="2" t="s">
        <v>1269</v>
      </c>
      <c r="AQ40" s="2" t="s">
        <v>1268</v>
      </c>
      <c r="AR40" s="2" t="s">
        <v>1270</v>
      </c>
      <c r="AS40" s="2" t="s">
        <v>1271</v>
      </c>
      <c r="AT40" s="2" t="s">
        <v>1272</v>
      </c>
      <c r="AU40" s="2" t="s">
        <v>1274</v>
      </c>
      <c r="AV40" s="2" t="s">
        <v>1275</v>
      </c>
      <c r="AW40" s="2" t="s">
        <v>1276</v>
      </c>
      <c r="AX40" s="2" t="s">
        <v>1277</v>
      </c>
      <c r="AY40" s="2" t="s">
        <v>1278</v>
      </c>
      <c r="AZ40" s="2" t="s">
        <v>1279</v>
      </c>
      <c r="BA40" s="2" t="s">
        <v>1280</v>
      </c>
      <c r="BB40" s="2" t="s">
        <v>1281</v>
      </c>
      <c r="BC40" s="2" t="s">
        <v>1282</v>
      </c>
      <c r="BD40" s="2" t="s">
        <v>1283</v>
      </c>
      <c r="BE40" s="2" t="s">
        <v>1284</v>
      </c>
      <c r="BF40" s="2" t="s">
        <v>1285</v>
      </c>
      <c r="BG40" s="2" t="s">
        <v>1286</v>
      </c>
      <c r="BH40" s="2" t="s">
        <v>1287</v>
      </c>
      <c r="BJ40" s="2"/>
    </row>
    <row r="41" spans="1:62" ht="30" customHeight="1" x14ac:dyDescent="0.25">
      <c r="A41" s="1" t="s">
        <v>1231</v>
      </c>
      <c r="B41"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1" s="2" t="s">
        <v>1236</v>
      </c>
      <c r="D41" s="2" t="s">
        <v>1237</v>
      </c>
      <c r="E41" s="2" t="s">
        <v>1238</v>
      </c>
      <c r="F41" s="2" t="s">
        <v>1239</v>
      </c>
      <c r="G41" s="2" t="s">
        <v>1240</v>
      </c>
      <c r="H41" s="2" t="s">
        <v>1244</v>
      </c>
      <c r="I41" s="2" t="s">
        <v>1245</v>
      </c>
      <c r="J41" s="2" t="s">
        <v>1291</v>
      </c>
      <c r="K41" s="2" t="s">
        <v>1241</v>
      </c>
      <c r="L41" s="2" t="s">
        <v>1242</v>
      </c>
      <c r="M41" s="2" t="s">
        <v>1243</v>
      </c>
      <c r="N41" s="2" t="s">
        <v>1246</v>
      </c>
      <c r="O41" s="2" t="s">
        <v>1247</v>
      </c>
      <c r="P41" s="2" t="s">
        <v>1248</v>
      </c>
      <c r="Q41" s="2" t="s">
        <v>1249</v>
      </c>
      <c r="R41" s="2" t="s">
        <v>1250</v>
      </c>
      <c r="S41" s="2" t="s">
        <v>1251</v>
      </c>
      <c r="T41" s="2" t="s">
        <v>1288</v>
      </c>
      <c r="U41" s="2" t="s">
        <v>1289</v>
      </c>
      <c r="V41" s="2" t="s">
        <v>1252</v>
      </c>
      <c r="W41" s="2" t="s">
        <v>988</v>
      </c>
      <c r="X41" s="2" t="s">
        <v>1253</v>
      </c>
      <c r="Y41" s="2" t="s">
        <v>1254</v>
      </c>
      <c r="Z41" s="2" t="s">
        <v>1255</v>
      </c>
      <c r="AA41" s="2" t="s">
        <v>1292</v>
      </c>
      <c r="AB41" s="2" t="s">
        <v>1256</v>
      </c>
      <c r="AC41" s="2" t="s">
        <v>1257</v>
      </c>
      <c r="AD41" s="2" t="s">
        <v>1258</v>
      </c>
      <c r="AE41" s="2" t="s">
        <v>1259</v>
      </c>
      <c r="AF41" s="2" t="s">
        <v>1260</v>
      </c>
      <c r="AG41" s="2" t="s">
        <v>1261</v>
      </c>
      <c r="AH41" s="2" t="s">
        <v>1262</v>
      </c>
      <c r="AI41" s="2" t="s">
        <v>1263</v>
      </c>
      <c r="AJ41" s="2" t="s">
        <v>1273</v>
      </c>
      <c r="AK41" s="2" t="s">
        <v>1290</v>
      </c>
      <c r="AL41" s="2" t="s">
        <v>1264</v>
      </c>
      <c r="AM41" s="2" t="s">
        <v>1265</v>
      </c>
      <c r="AN41" s="2" t="s">
        <v>1266</v>
      </c>
      <c r="AO41" s="2" t="s">
        <v>1267</v>
      </c>
      <c r="AP41" s="2" t="s">
        <v>1269</v>
      </c>
      <c r="AQ41" s="2" t="s">
        <v>1268</v>
      </c>
      <c r="AR41" s="2" t="s">
        <v>1270</v>
      </c>
      <c r="AS41" s="2" t="s">
        <v>1271</v>
      </c>
      <c r="AT41" s="2" t="s">
        <v>1272</v>
      </c>
      <c r="AU41" s="2" t="s">
        <v>1274</v>
      </c>
      <c r="AV41" s="2" t="s">
        <v>1275</v>
      </c>
      <c r="AW41" s="2" t="s">
        <v>1276</v>
      </c>
      <c r="AX41" s="2" t="s">
        <v>1277</v>
      </c>
      <c r="AY41" s="2" t="s">
        <v>1278</v>
      </c>
      <c r="AZ41" s="2" t="s">
        <v>1279</v>
      </c>
      <c r="BA41" s="2" t="s">
        <v>1280</v>
      </c>
      <c r="BB41" s="2" t="s">
        <v>1281</v>
      </c>
      <c r="BC41" s="2" t="s">
        <v>1282</v>
      </c>
      <c r="BD41" s="2" t="s">
        <v>1283</v>
      </c>
      <c r="BE41" s="2" t="s">
        <v>1284</v>
      </c>
      <c r="BF41" s="2" t="s">
        <v>1285</v>
      </c>
      <c r="BG41" s="2" t="s">
        <v>1286</v>
      </c>
      <c r="BH41" s="2" t="s">
        <v>1287</v>
      </c>
      <c r="BJ41" s="2"/>
    </row>
    <row r="42" spans="1:62" ht="30" customHeight="1" x14ac:dyDescent="0.25">
      <c r="A42" s="1" t="s">
        <v>926</v>
      </c>
      <c r="B42" s="1" t="str">
        <f t="shared" si="0"/>
        <v>Fresno,  Kern,  San Luis Obispo,  Santa Barbara</v>
      </c>
      <c r="C42" s="2"/>
      <c r="L42" s="2" t="s">
        <v>1242</v>
      </c>
      <c r="Q42" s="2" t="s">
        <v>1249</v>
      </c>
      <c r="AP42" s="2" t="s">
        <v>1269</v>
      </c>
      <c r="AR42" s="2" t="s">
        <v>1270</v>
      </c>
      <c r="BJ42" s="2"/>
    </row>
    <row r="43" spans="1:62" ht="30" customHeight="1" x14ac:dyDescent="0.25">
      <c r="A43" s="1" t="s">
        <v>923</v>
      </c>
      <c r="B43" s="1" t="str">
        <f t="shared" si="0"/>
        <v>Amador,  El Dorado,  Placer,  Plumas,  Sacramento,  Yolo,  Yuba</v>
      </c>
      <c r="C43" s="2"/>
      <c r="E43" s="2" t="s">
        <v>1238</v>
      </c>
      <c r="K43" s="2" t="s">
        <v>1241</v>
      </c>
      <c r="AG43" s="2" t="s">
        <v>1261</v>
      </c>
      <c r="AH43" s="2" t="s">
        <v>1262</v>
      </c>
      <c r="AJ43" s="2" t="s">
        <v>1273</v>
      </c>
      <c r="BG43" s="2" t="s">
        <v>1286</v>
      </c>
      <c r="BH43" s="2" t="s">
        <v>1287</v>
      </c>
      <c r="BJ43" s="2"/>
    </row>
    <row r="44" spans="1:62" ht="30" customHeight="1" x14ac:dyDescent="0.25">
      <c r="A44" s="1" t="s">
        <v>60</v>
      </c>
      <c r="B44"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4" s="2" t="s">
        <v>1236</v>
      </c>
      <c r="D44" s="2" t="s">
        <v>1237</v>
      </c>
      <c r="E44" s="2" t="s">
        <v>1238</v>
      </c>
      <c r="F44" s="2" t="s">
        <v>1239</v>
      </c>
      <c r="G44" s="2" t="s">
        <v>1240</v>
      </c>
      <c r="H44" s="2" t="s">
        <v>1244</v>
      </c>
      <c r="I44" s="2" t="s">
        <v>1245</v>
      </c>
      <c r="J44" s="2" t="s">
        <v>1291</v>
      </c>
      <c r="K44" s="2" t="s">
        <v>1241</v>
      </c>
      <c r="L44" s="2" t="s">
        <v>1242</v>
      </c>
      <c r="M44" s="2" t="s">
        <v>1243</v>
      </c>
      <c r="N44" s="2" t="s">
        <v>1246</v>
      </c>
      <c r="O44" s="2" t="s">
        <v>1247</v>
      </c>
      <c r="P44" s="2" t="s">
        <v>1248</v>
      </c>
      <c r="Q44" s="2" t="s">
        <v>1249</v>
      </c>
      <c r="R44" s="2" t="s">
        <v>1250</v>
      </c>
      <c r="S44" s="2" t="s">
        <v>1251</v>
      </c>
      <c r="T44" s="2" t="s">
        <v>1288</v>
      </c>
      <c r="U44" s="2" t="s">
        <v>1289</v>
      </c>
      <c r="V44" s="2" t="s">
        <v>1252</v>
      </c>
      <c r="W44" s="2" t="s">
        <v>988</v>
      </c>
      <c r="X44" s="2" t="s">
        <v>1253</v>
      </c>
      <c r="Y44" s="2" t="s">
        <v>1254</v>
      </c>
      <c r="Z44" s="2" t="s">
        <v>1255</v>
      </c>
      <c r="AA44" s="2" t="s">
        <v>1292</v>
      </c>
      <c r="AB44" s="2" t="s">
        <v>1256</v>
      </c>
      <c r="AC44" s="2" t="s">
        <v>1257</v>
      </c>
      <c r="AD44" s="2" t="s">
        <v>1258</v>
      </c>
      <c r="AE44" s="2" t="s">
        <v>1259</v>
      </c>
      <c r="AF44" s="2" t="s">
        <v>1260</v>
      </c>
      <c r="AG44" s="2" t="s">
        <v>1261</v>
      </c>
      <c r="AH44" s="2" t="s">
        <v>1262</v>
      </c>
      <c r="AI44" s="2" t="s">
        <v>1263</v>
      </c>
      <c r="AJ44" s="2" t="s">
        <v>1273</v>
      </c>
      <c r="AK44" s="2" t="s">
        <v>1290</v>
      </c>
      <c r="AL44" s="2" t="s">
        <v>1264</v>
      </c>
      <c r="AM44" s="2" t="s">
        <v>1265</v>
      </c>
      <c r="AN44" s="2" t="s">
        <v>1266</v>
      </c>
      <c r="AO44" s="2" t="s">
        <v>1267</v>
      </c>
      <c r="AP44" s="2" t="s">
        <v>1269</v>
      </c>
      <c r="AQ44" s="2" t="s">
        <v>1268</v>
      </c>
      <c r="AR44" s="2" t="s">
        <v>1270</v>
      </c>
      <c r="AS44" s="2" t="s">
        <v>1271</v>
      </c>
      <c r="AT44" s="2" t="s">
        <v>1272</v>
      </c>
      <c r="AU44" s="2" t="s">
        <v>1274</v>
      </c>
      <c r="AV44" s="2" t="s">
        <v>1275</v>
      </c>
      <c r="AW44" s="2" t="s">
        <v>1276</v>
      </c>
      <c r="AX44" s="2" t="s">
        <v>1277</v>
      </c>
      <c r="AY44" s="2" t="s">
        <v>1278</v>
      </c>
      <c r="AZ44" s="2" t="s">
        <v>1279</v>
      </c>
      <c r="BA44" s="2" t="s">
        <v>1280</v>
      </c>
      <c r="BB44" s="2" t="s">
        <v>1281</v>
      </c>
      <c r="BC44" s="2" t="s">
        <v>1282</v>
      </c>
      <c r="BD44" s="2" t="s">
        <v>1283</v>
      </c>
      <c r="BE44" s="2" t="s">
        <v>1284</v>
      </c>
      <c r="BF44" s="2" t="s">
        <v>1285</v>
      </c>
      <c r="BG44" s="2" t="s">
        <v>1286</v>
      </c>
      <c r="BH44" s="2" t="s">
        <v>1287</v>
      </c>
      <c r="BJ44" s="2"/>
    </row>
    <row r="45" spans="1:62" ht="30" customHeight="1" x14ac:dyDescent="0.25">
      <c r="A45" s="1" t="s">
        <v>205</v>
      </c>
      <c r="B45" s="1" t="str">
        <f t="shared" si="0"/>
        <v>Alameda,  Alpine,  Amador,  Butte,  Calaveras,  Colusa,  El Dorado,  Fresno,  Glenn,  Lake,  Lassen,  Madera,  Mariposa,  Merced,  Nevada,  Placer,  Plumas,  Sacramento,  San Joaquin,  Shasta,  Sierra,  Siskiyou,  Stanislaus,  Sutter,  Tehama,  Tulare,  Tuolumne,  Yolo,  Yuba</v>
      </c>
      <c r="C45" s="2" t="s">
        <v>1236</v>
      </c>
      <c r="D45" s="2" t="s">
        <v>1237</v>
      </c>
      <c r="E45" s="2" t="s">
        <v>1238</v>
      </c>
      <c r="F45" s="2" t="s">
        <v>1239</v>
      </c>
      <c r="G45" s="2" t="s">
        <v>1240</v>
      </c>
      <c r="H45" s="2" t="s">
        <v>1244</v>
      </c>
      <c r="K45" s="2" t="s">
        <v>1241</v>
      </c>
      <c r="L45" s="2" t="s">
        <v>1242</v>
      </c>
      <c r="M45" s="2" t="s">
        <v>1243</v>
      </c>
      <c r="S45" s="2" t="s">
        <v>1251</v>
      </c>
      <c r="T45" s="2" t="s">
        <v>1288</v>
      </c>
      <c r="V45" s="2" t="s">
        <v>1252</v>
      </c>
      <c r="X45" s="2" t="s">
        <v>1253</v>
      </c>
      <c r="Z45" s="2" t="s">
        <v>1255</v>
      </c>
      <c r="AE45" s="2" t="s">
        <v>1259</v>
      </c>
      <c r="AG45" s="2" t="s">
        <v>1261</v>
      </c>
      <c r="AH45" s="2" t="s">
        <v>1262</v>
      </c>
      <c r="AJ45" s="2" t="s">
        <v>1273</v>
      </c>
      <c r="AO45" s="2" t="s">
        <v>1267</v>
      </c>
      <c r="AU45" s="2" t="s">
        <v>1274</v>
      </c>
      <c r="AV45" s="2" t="s">
        <v>1275</v>
      </c>
      <c r="AW45" s="2" t="s">
        <v>1276</v>
      </c>
      <c r="AZ45" s="2" t="s">
        <v>1279</v>
      </c>
      <c r="BA45" s="2" t="s">
        <v>1280</v>
      </c>
      <c r="BB45" s="2" t="s">
        <v>1281</v>
      </c>
      <c r="BD45" s="2" t="s">
        <v>1283</v>
      </c>
      <c r="BE45" s="2" t="s">
        <v>1284</v>
      </c>
      <c r="BG45" s="2" t="s">
        <v>1286</v>
      </c>
      <c r="BH45" s="2" t="s">
        <v>1287</v>
      </c>
      <c r="BJ45" s="2"/>
    </row>
    <row r="46" spans="1:62" ht="30" customHeight="1" x14ac:dyDescent="0.25">
      <c r="A46" s="1" t="s">
        <v>1230</v>
      </c>
      <c r="B46" s="1" t="str">
        <f t="shared" si="0"/>
        <v>Alameda,  San Mateo,  Santa Clara,  Santa Cruz</v>
      </c>
      <c r="C46" s="2" t="s">
        <v>1236</v>
      </c>
      <c r="AQ46" s="2" t="s">
        <v>1268</v>
      </c>
      <c r="AS46" s="2" t="s">
        <v>1271</v>
      </c>
      <c r="AT46" s="2" t="s">
        <v>1272</v>
      </c>
      <c r="BJ46" s="2"/>
    </row>
    <row r="47" spans="1:62" ht="30" customHeight="1" x14ac:dyDescent="0.25">
      <c r="A47" s="1" t="s">
        <v>199</v>
      </c>
      <c r="B47" s="1" t="str">
        <f t="shared" si="0"/>
        <v>Alameda,  Amador,  Butte,  Calaveras,  Colusa,  Contra Costa,  El Dorado,  Glenn,  Lake,  Los Angeles,  Marin,  Merced,  Napa,  Nevada,  Orange,  Placer,  Riverside,  Sacramento,  San Bernardino,  San Joaquin,  San Luis Obispo,  Santa Barbara,  Santa Clara,  Santa Cruz,  Solano,  Sonoma,  Stanislaus,  Sutter,  Tuolumne,  Ventura,  Yolo,  Yuba</v>
      </c>
      <c r="C47" s="2" t="s">
        <v>1236</v>
      </c>
      <c r="E47" s="2" t="s">
        <v>1238</v>
      </c>
      <c r="F47" s="2" t="s">
        <v>1239</v>
      </c>
      <c r="G47" s="2" t="s">
        <v>1240</v>
      </c>
      <c r="H47" s="2" t="s">
        <v>1244</v>
      </c>
      <c r="I47" s="2" t="s">
        <v>1245</v>
      </c>
      <c r="K47" s="2" t="s">
        <v>1241</v>
      </c>
      <c r="M47" s="2" t="s">
        <v>1243</v>
      </c>
      <c r="S47" s="2" t="s">
        <v>1251</v>
      </c>
      <c r="U47" s="2" t="s">
        <v>1289</v>
      </c>
      <c r="W47" s="2" t="s">
        <v>988</v>
      </c>
      <c r="Z47" s="2" t="s">
        <v>1255</v>
      </c>
      <c r="AD47" s="2" t="s">
        <v>1258</v>
      </c>
      <c r="AE47" s="2" t="s">
        <v>1259</v>
      </c>
      <c r="AF47" s="2" t="s">
        <v>1260</v>
      </c>
      <c r="AG47" s="2" t="s">
        <v>1261</v>
      </c>
      <c r="AI47" s="2" t="s">
        <v>1263</v>
      </c>
      <c r="AJ47" s="2" t="s">
        <v>1273</v>
      </c>
      <c r="AL47" s="2" t="s">
        <v>1264</v>
      </c>
      <c r="AO47" s="2" t="s">
        <v>1267</v>
      </c>
      <c r="AP47" s="2" t="s">
        <v>1269</v>
      </c>
      <c r="AR47" s="2" t="s">
        <v>1270</v>
      </c>
      <c r="AS47" s="2" t="s">
        <v>1271</v>
      </c>
      <c r="AT47" s="2" t="s">
        <v>1272</v>
      </c>
      <c r="AX47" s="2" t="s">
        <v>1277</v>
      </c>
      <c r="AY47" s="2" t="s">
        <v>1278</v>
      </c>
      <c r="AZ47" s="2" t="s">
        <v>1279</v>
      </c>
      <c r="BA47" s="2" t="s">
        <v>1280</v>
      </c>
      <c r="BE47" s="2" t="s">
        <v>1284</v>
      </c>
      <c r="BF47" s="2" t="s">
        <v>1285</v>
      </c>
      <c r="BG47" s="2" t="s">
        <v>1286</v>
      </c>
      <c r="BH47" s="2" t="s">
        <v>1287</v>
      </c>
      <c r="BJ47" s="2"/>
    </row>
    <row r="48" spans="1:62" ht="30" customHeight="1" x14ac:dyDescent="0.25">
      <c r="A48" s="1" t="s">
        <v>865</v>
      </c>
      <c r="B48" s="1" t="str">
        <f t="shared" si="0"/>
        <v>Alameda,  Contra Costa,  Marin,  Mendocino,  Napa,  San Francisco,  San Mateo,  Santa Clara,  Solano,  Sonoma</v>
      </c>
      <c r="C48" s="2" t="s">
        <v>1236</v>
      </c>
      <c r="I48" s="2" t="s">
        <v>1245</v>
      </c>
      <c r="W48" s="2" t="s">
        <v>988</v>
      </c>
      <c r="Y48" s="2" t="s">
        <v>1254</v>
      </c>
      <c r="AD48" s="2" t="s">
        <v>1258</v>
      </c>
      <c r="AN48" s="2" t="s">
        <v>1266</v>
      </c>
      <c r="AQ48" s="2" t="s">
        <v>1268</v>
      </c>
      <c r="AS48" s="2" t="s">
        <v>1271</v>
      </c>
      <c r="AX48" s="2" t="s">
        <v>1277</v>
      </c>
      <c r="AY48" s="2" t="s">
        <v>1278</v>
      </c>
      <c r="BJ48" s="2"/>
    </row>
    <row r="49" spans="1:62" ht="30" customHeight="1" x14ac:dyDescent="0.25">
      <c r="A49" s="1" t="s">
        <v>451</v>
      </c>
      <c r="B49" s="1" t="str">
        <f t="shared" si="0"/>
        <v>Alameda,  Contra Costa,  San Francisco,  San Mateo,  Santa Clara,  Santa Cruz</v>
      </c>
      <c r="C49" s="2" t="s">
        <v>1236</v>
      </c>
      <c r="I49" s="2" t="s">
        <v>1245</v>
      </c>
      <c r="AN49" s="2" t="s">
        <v>1266</v>
      </c>
      <c r="AQ49" s="2" t="s">
        <v>1268</v>
      </c>
      <c r="AS49" s="2" t="s">
        <v>1271</v>
      </c>
      <c r="AT49" s="2" t="s">
        <v>1272</v>
      </c>
      <c r="BJ49" s="2"/>
    </row>
    <row r="50" spans="1:62" ht="30" customHeight="1" x14ac:dyDescent="0.25">
      <c r="A50" s="1" t="s">
        <v>374</v>
      </c>
      <c r="B50" s="1" t="str">
        <f t="shared" si="0"/>
        <v>San Diego</v>
      </c>
      <c r="C50" s="2"/>
      <c r="AM50" s="2" t="s">
        <v>1265</v>
      </c>
      <c r="BJ50" s="2"/>
    </row>
    <row r="51" spans="1:62" ht="30" customHeight="1" x14ac:dyDescent="0.25">
      <c r="A51" s="1" t="s">
        <v>397</v>
      </c>
      <c r="B51" s="1" t="str">
        <f t="shared" si="0"/>
        <v>Los Angeles,  Marin,  Mendocino,  Napa,  San Francisco,  Sonoma</v>
      </c>
      <c r="C51" s="2"/>
      <c r="U51" s="2" t="s">
        <v>1289</v>
      </c>
      <c r="W51" s="2" t="s">
        <v>988</v>
      </c>
      <c r="Y51" s="2" t="s">
        <v>1254</v>
      </c>
      <c r="AD51" s="2" t="s">
        <v>1258</v>
      </c>
      <c r="AN51" s="2" t="s">
        <v>1266</v>
      </c>
      <c r="AY51" s="2" t="s">
        <v>1278</v>
      </c>
      <c r="BJ51" s="2"/>
    </row>
    <row r="52" spans="1:62" ht="30" customHeight="1" x14ac:dyDescent="0.25">
      <c r="A52" s="1" t="s">
        <v>351</v>
      </c>
      <c r="B52"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52" s="2" t="s">
        <v>1236</v>
      </c>
      <c r="D52" s="2" t="s">
        <v>1237</v>
      </c>
      <c r="E52" s="2" t="s">
        <v>1238</v>
      </c>
      <c r="F52" s="2" t="s">
        <v>1239</v>
      </c>
      <c r="G52" s="2" t="s">
        <v>1240</v>
      </c>
      <c r="H52" s="2" t="s">
        <v>1244</v>
      </c>
      <c r="I52" s="2" t="s">
        <v>1245</v>
      </c>
      <c r="J52" s="2" t="s">
        <v>1291</v>
      </c>
      <c r="K52" s="2" t="s">
        <v>1241</v>
      </c>
      <c r="L52" s="2" t="s">
        <v>1242</v>
      </c>
      <c r="M52" s="2" t="s">
        <v>1243</v>
      </c>
      <c r="N52" s="2" t="s">
        <v>1246</v>
      </c>
      <c r="O52" s="2" t="s">
        <v>1247</v>
      </c>
      <c r="P52" s="2" t="s">
        <v>1248</v>
      </c>
      <c r="Q52" s="2" t="s">
        <v>1249</v>
      </c>
      <c r="R52" s="2" t="s">
        <v>1250</v>
      </c>
      <c r="S52" s="2" t="s">
        <v>1251</v>
      </c>
      <c r="T52" s="2" t="s">
        <v>1288</v>
      </c>
      <c r="U52" s="2" t="s">
        <v>1289</v>
      </c>
      <c r="V52" s="2" t="s">
        <v>1252</v>
      </c>
      <c r="W52" s="2" t="s">
        <v>988</v>
      </c>
      <c r="X52" s="2" t="s">
        <v>1253</v>
      </c>
      <c r="Y52" s="2" t="s">
        <v>1254</v>
      </c>
      <c r="Z52" s="2" t="s">
        <v>1255</v>
      </c>
      <c r="AA52" s="2" t="s">
        <v>1292</v>
      </c>
      <c r="AB52" s="2" t="s">
        <v>1256</v>
      </c>
      <c r="AC52" s="2" t="s">
        <v>1257</v>
      </c>
      <c r="AD52" s="2" t="s">
        <v>1258</v>
      </c>
      <c r="AE52" s="2" t="s">
        <v>1259</v>
      </c>
      <c r="AF52" s="2" t="s">
        <v>1260</v>
      </c>
      <c r="AG52" s="2" t="s">
        <v>1261</v>
      </c>
      <c r="AH52" s="2" t="s">
        <v>1262</v>
      </c>
      <c r="AI52" s="2" t="s">
        <v>1263</v>
      </c>
      <c r="AJ52" s="2" t="s">
        <v>1273</v>
      </c>
      <c r="AK52" s="2" t="s">
        <v>1290</v>
      </c>
      <c r="AL52" s="2" t="s">
        <v>1264</v>
      </c>
      <c r="AM52" s="2" t="s">
        <v>1265</v>
      </c>
      <c r="AN52" s="2" t="s">
        <v>1266</v>
      </c>
      <c r="AO52" s="2" t="s">
        <v>1267</v>
      </c>
      <c r="AP52" s="2" t="s">
        <v>1269</v>
      </c>
      <c r="AQ52" s="2" t="s">
        <v>1268</v>
      </c>
      <c r="AR52" s="2" t="s">
        <v>1270</v>
      </c>
      <c r="AS52" s="2" t="s">
        <v>1271</v>
      </c>
      <c r="AT52" s="2" t="s">
        <v>1272</v>
      </c>
      <c r="AU52" s="2" t="s">
        <v>1274</v>
      </c>
      <c r="AV52" s="2" t="s">
        <v>1275</v>
      </c>
      <c r="AW52" s="2" t="s">
        <v>1276</v>
      </c>
      <c r="AX52" s="2" t="s">
        <v>1277</v>
      </c>
      <c r="AY52" s="2" t="s">
        <v>1278</v>
      </c>
      <c r="AZ52" s="2" t="s">
        <v>1279</v>
      </c>
      <c r="BA52" s="2" t="s">
        <v>1280</v>
      </c>
      <c r="BB52" s="2" t="s">
        <v>1281</v>
      </c>
      <c r="BC52" s="2" t="s">
        <v>1282</v>
      </c>
      <c r="BD52" s="2" t="s">
        <v>1283</v>
      </c>
      <c r="BE52" s="2" t="s">
        <v>1284</v>
      </c>
      <c r="BF52" s="2" t="s">
        <v>1285</v>
      </c>
      <c r="BG52" s="2" t="s">
        <v>1286</v>
      </c>
      <c r="BH52" s="2" t="s">
        <v>1287</v>
      </c>
      <c r="BJ52" s="2"/>
    </row>
    <row r="53" spans="1:62" ht="30" customHeight="1" x14ac:dyDescent="0.25">
      <c r="A53" s="1" t="s">
        <v>388</v>
      </c>
      <c r="B53" s="1" t="str">
        <f t="shared" si="0"/>
        <v>San Diego</v>
      </c>
      <c r="C53" s="2"/>
      <c r="AM53" s="2" t="s">
        <v>1265</v>
      </c>
      <c r="BJ53" s="2"/>
    </row>
    <row r="54" spans="1:62" ht="30" customHeight="1" x14ac:dyDescent="0.25">
      <c r="A54" s="1" t="s">
        <v>142</v>
      </c>
      <c r="B54" s="1" t="str">
        <f t="shared" si="0"/>
        <v>Colusa,  Placer,  Sacramento</v>
      </c>
      <c r="C54" s="2"/>
      <c r="H54" s="2" t="s">
        <v>1244</v>
      </c>
      <c r="AG54" s="2" t="s">
        <v>1261</v>
      </c>
      <c r="AJ54" s="2" t="s">
        <v>1273</v>
      </c>
      <c r="BJ54" s="2"/>
    </row>
    <row r="55" spans="1:62" ht="30" customHeight="1" x14ac:dyDescent="0.25">
      <c r="A55" s="1" t="s">
        <v>304</v>
      </c>
      <c r="B55" s="1" t="str">
        <f t="shared" si="0"/>
        <v>Alameda,  Contra Costa,  Marin,  Mendocino,  Monterey,  San Bernardino,  San Francisco,  San Mateo,  Santa Clara,  Santa Cruz</v>
      </c>
      <c r="C55" s="2" t="s">
        <v>1236</v>
      </c>
      <c r="I55" s="2" t="s">
        <v>1245</v>
      </c>
      <c r="W55" s="2" t="s">
        <v>988</v>
      </c>
      <c r="Y55" s="2" t="s">
        <v>1254</v>
      </c>
      <c r="AC55" s="2" t="s">
        <v>1257</v>
      </c>
      <c r="AL55" s="2" t="s">
        <v>1264</v>
      </c>
      <c r="AN55" s="2" t="s">
        <v>1266</v>
      </c>
      <c r="AQ55" s="2" t="s">
        <v>1268</v>
      </c>
      <c r="AS55" s="2" t="s">
        <v>1271</v>
      </c>
      <c r="AT55" s="2" t="s">
        <v>1272</v>
      </c>
      <c r="BJ55" s="2"/>
    </row>
    <row r="56" spans="1:62" ht="30" customHeight="1" x14ac:dyDescent="0.25">
      <c r="A56" s="1" t="s">
        <v>1215</v>
      </c>
      <c r="B56" s="1" t="str">
        <f t="shared" si="0"/>
        <v>Alpine,  Amador,  Butte,  Calaveras,  Colusa,  El Dorado,  Fresno,  Inyo,  Kern,  Kings,  Lassen,  Los Angeles,  Madera,  Marin,  Mariposa,  Mendocino,  Merced,  Mono,  Monterey,  Napa,  Nevada,  Orange,  Placer,  Plumas,  San Benito,  San Diego,  San Joaquin,  San Luis Obispo,  Santa Barbara,  Santa Clara,  Santa Cruz,  Sierra,  Sonoma,  Stanislaus,  Tulare,  Tuolumne,  Ventura,  Yuba</v>
      </c>
      <c r="C56" s="2"/>
      <c r="D56" s="2" t="s">
        <v>1237</v>
      </c>
      <c r="E56" s="2" t="s">
        <v>1238</v>
      </c>
      <c r="F56" s="2" t="s">
        <v>1239</v>
      </c>
      <c r="G56" s="2" t="s">
        <v>1240</v>
      </c>
      <c r="H56" s="2" t="s">
        <v>1244</v>
      </c>
      <c r="K56" s="2" t="s">
        <v>1241</v>
      </c>
      <c r="L56" s="2" t="s">
        <v>1242</v>
      </c>
      <c r="P56" s="2" t="s">
        <v>1248</v>
      </c>
      <c r="Q56" s="2" t="s">
        <v>1249</v>
      </c>
      <c r="R56" s="2" t="s">
        <v>1250</v>
      </c>
      <c r="T56" s="2" t="s">
        <v>1288</v>
      </c>
      <c r="U56" s="2" t="s">
        <v>1289</v>
      </c>
      <c r="V56" s="2" t="s">
        <v>1252</v>
      </c>
      <c r="W56" s="2" t="s">
        <v>988</v>
      </c>
      <c r="X56" s="2" t="s">
        <v>1253</v>
      </c>
      <c r="Y56" s="2" t="s">
        <v>1254</v>
      </c>
      <c r="Z56" s="2" t="s">
        <v>1255</v>
      </c>
      <c r="AB56" s="2" t="s">
        <v>1256</v>
      </c>
      <c r="AC56" s="2" t="s">
        <v>1257</v>
      </c>
      <c r="AD56" s="2" t="s">
        <v>1258</v>
      </c>
      <c r="AE56" s="2" t="s">
        <v>1259</v>
      </c>
      <c r="AF56" s="2" t="s">
        <v>1260</v>
      </c>
      <c r="AG56" s="2" t="s">
        <v>1261</v>
      </c>
      <c r="AH56" s="2" t="s">
        <v>1262</v>
      </c>
      <c r="AK56" s="2" t="s">
        <v>1290</v>
      </c>
      <c r="AM56" s="2" t="s">
        <v>1265</v>
      </c>
      <c r="AO56" s="2" t="s">
        <v>1267</v>
      </c>
      <c r="AP56" s="2" t="s">
        <v>1269</v>
      </c>
      <c r="AR56" s="2" t="s">
        <v>1270</v>
      </c>
      <c r="AS56" s="2" t="s">
        <v>1271</v>
      </c>
      <c r="AT56" s="2" t="s">
        <v>1272</v>
      </c>
      <c r="AV56" s="2" t="s">
        <v>1275</v>
      </c>
      <c r="AY56" s="2" t="s">
        <v>1278</v>
      </c>
      <c r="AZ56" s="2" t="s">
        <v>1279</v>
      </c>
      <c r="BD56" s="2" t="s">
        <v>1283</v>
      </c>
      <c r="BE56" s="2" t="s">
        <v>1284</v>
      </c>
      <c r="BF56" s="2" t="s">
        <v>1285</v>
      </c>
      <c r="BH56" s="2" t="s">
        <v>1287</v>
      </c>
      <c r="BJ56" s="2"/>
    </row>
    <row r="57" spans="1:62" ht="30" customHeight="1" x14ac:dyDescent="0.25">
      <c r="A57" s="1" t="s">
        <v>529</v>
      </c>
      <c r="B57" s="1" t="str">
        <f t="shared" si="0"/>
        <v>Alameda,  Contra Costa,  Marin,  San Joaquin,  San Mateo,  Santa Clara,  Sonoma</v>
      </c>
      <c r="C57" s="2" t="s">
        <v>1236</v>
      </c>
      <c r="I57" s="2" t="s">
        <v>1245</v>
      </c>
      <c r="W57" s="2" t="s">
        <v>988</v>
      </c>
      <c r="AO57" s="2" t="s">
        <v>1267</v>
      </c>
      <c r="AQ57" s="2" t="s">
        <v>1268</v>
      </c>
      <c r="AS57" s="2" t="s">
        <v>1271</v>
      </c>
      <c r="AY57" s="2" t="s">
        <v>1278</v>
      </c>
      <c r="BJ57" s="2"/>
    </row>
    <row r="58" spans="1:62" ht="30" customHeight="1" x14ac:dyDescent="0.25">
      <c r="A58" s="1" t="s">
        <v>911</v>
      </c>
      <c r="B58" s="1" t="str">
        <f t="shared" si="0"/>
        <v>Alameda,  Contra Costa,  Lake,  Marin,  Mendocino,  Napa,  Nevada,  San Francisco,  Solano,  Sonoma</v>
      </c>
      <c r="C58" s="2" t="s">
        <v>1236</v>
      </c>
      <c r="I58" s="2" t="s">
        <v>1245</v>
      </c>
      <c r="S58" s="2" t="s">
        <v>1251</v>
      </c>
      <c r="W58" s="2" t="s">
        <v>988</v>
      </c>
      <c r="Y58" s="2" t="s">
        <v>1254</v>
      </c>
      <c r="AD58" s="2" t="s">
        <v>1258</v>
      </c>
      <c r="AE58" s="2" t="s">
        <v>1259</v>
      </c>
      <c r="AN58" s="2" t="s">
        <v>1266</v>
      </c>
      <c r="AX58" s="2" t="s">
        <v>1277</v>
      </c>
      <c r="AY58" s="2" t="s">
        <v>1278</v>
      </c>
      <c r="BJ58" s="2"/>
    </row>
    <row r="59" spans="1:62" ht="30" customHeight="1" x14ac:dyDescent="0.25">
      <c r="A59" s="1" t="s">
        <v>850</v>
      </c>
      <c r="B59" s="1" t="str">
        <f t="shared" si="0"/>
        <v>Orange,  Riverside,  San Diego</v>
      </c>
      <c r="C59" s="2"/>
      <c r="AF59" s="2" t="s">
        <v>1260</v>
      </c>
      <c r="AI59" s="2" t="s">
        <v>1263</v>
      </c>
      <c r="AM59" s="2" t="s">
        <v>1265</v>
      </c>
      <c r="BJ59" s="2"/>
    </row>
    <row r="60" spans="1:62" ht="30" customHeight="1" x14ac:dyDescent="0.25">
      <c r="A60" s="1" t="s">
        <v>938</v>
      </c>
      <c r="B60" s="1" t="str">
        <f t="shared" si="0"/>
        <v>Monterey,  San Benito,  San Mateo,  Santa Clara,  Santa Cruz</v>
      </c>
      <c r="C60" s="2"/>
      <c r="AC60" s="2" t="s">
        <v>1257</v>
      </c>
      <c r="AK60" s="2" t="s">
        <v>1290</v>
      </c>
      <c r="AQ60" s="2" t="s">
        <v>1268</v>
      </c>
      <c r="AS60" s="2" t="s">
        <v>1271</v>
      </c>
      <c r="AT60" s="2" t="s">
        <v>1272</v>
      </c>
      <c r="BJ60" s="2"/>
    </row>
    <row r="61" spans="1:62" ht="30" customHeight="1" x14ac:dyDescent="0.25">
      <c r="A61" s="1" t="s">
        <v>321</v>
      </c>
      <c r="B61"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61" s="2" t="s">
        <v>1236</v>
      </c>
      <c r="D61" s="2" t="s">
        <v>1237</v>
      </c>
      <c r="E61" s="2" t="s">
        <v>1238</v>
      </c>
      <c r="F61" s="2" t="s">
        <v>1239</v>
      </c>
      <c r="G61" s="2" t="s">
        <v>1240</v>
      </c>
      <c r="H61" s="2" t="s">
        <v>1244</v>
      </c>
      <c r="I61" s="2" t="s">
        <v>1245</v>
      </c>
      <c r="J61" s="2" t="s">
        <v>1291</v>
      </c>
      <c r="K61" s="2" t="s">
        <v>1241</v>
      </c>
      <c r="L61" s="2" t="s">
        <v>1242</v>
      </c>
      <c r="M61" s="2" t="s">
        <v>1243</v>
      </c>
      <c r="N61" s="2" t="s">
        <v>1246</v>
      </c>
      <c r="O61" s="2" t="s">
        <v>1247</v>
      </c>
      <c r="P61" s="2" t="s">
        <v>1248</v>
      </c>
      <c r="Q61" s="2" t="s">
        <v>1249</v>
      </c>
      <c r="R61" s="2" t="s">
        <v>1250</v>
      </c>
      <c r="S61" s="2" t="s">
        <v>1251</v>
      </c>
      <c r="T61" s="2" t="s">
        <v>1288</v>
      </c>
      <c r="U61" s="2" t="s">
        <v>1289</v>
      </c>
      <c r="V61" s="2" t="s">
        <v>1252</v>
      </c>
      <c r="W61" s="2" t="s">
        <v>988</v>
      </c>
      <c r="X61" s="2" t="s">
        <v>1253</v>
      </c>
      <c r="Y61" s="2" t="s">
        <v>1254</v>
      </c>
      <c r="Z61" s="2" t="s">
        <v>1255</v>
      </c>
      <c r="AA61" s="2" t="s">
        <v>1292</v>
      </c>
      <c r="AB61" s="2" t="s">
        <v>1256</v>
      </c>
      <c r="AC61" s="2" t="s">
        <v>1257</v>
      </c>
      <c r="AD61" s="2" t="s">
        <v>1258</v>
      </c>
      <c r="AE61" s="2" t="s">
        <v>1259</v>
      </c>
      <c r="AF61" s="2" t="s">
        <v>1260</v>
      </c>
      <c r="AG61" s="2" t="s">
        <v>1261</v>
      </c>
      <c r="AH61" s="2" t="s">
        <v>1262</v>
      </c>
      <c r="AI61" s="2" t="s">
        <v>1263</v>
      </c>
      <c r="AJ61" s="2" t="s">
        <v>1273</v>
      </c>
      <c r="AK61" s="2" t="s">
        <v>1290</v>
      </c>
      <c r="AL61" s="2" t="s">
        <v>1264</v>
      </c>
      <c r="AM61" s="2" t="s">
        <v>1265</v>
      </c>
      <c r="AN61" s="2" t="s">
        <v>1266</v>
      </c>
      <c r="AO61" s="2" t="s">
        <v>1267</v>
      </c>
      <c r="AP61" s="2" t="s">
        <v>1269</v>
      </c>
      <c r="AQ61" s="2" t="s">
        <v>1268</v>
      </c>
      <c r="AR61" s="2" t="s">
        <v>1270</v>
      </c>
      <c r="AS61" s="2" t="s">
        <v>1271</v>
      </c>
      <c r="AT61" s="2" t="s">
        <v>1272</v>
      </c>
      <c r="AU61" s="2" t="s">
        <v>1274</v>
      </c>
      <c r="AV61" s="2" t="s">
        <v>1275</v>
      </c>
      <c r="AW61" s="2" t="s">
        <v>1276</v>
      </c>
      <c r="AX61" s="2" t="s">
        <v>1277</v>
      </c>
      <c r="AY61" s="2" t="s">
        <v>1278</v>
      </c>
      <c r="AZ61" s="2" t="s">
        <v>1279</v>
      </c>
      <c r="BA61" s="2" t="s">
        <v>1280</v>
      </c>
      <c r="BB61" s="2" t="s">
        <v>1281</v>
      </c>
      <c r="BC61" s="2" t="s">
        <v>1282</v>
      </c>
      <c r="BD61" s="2" t="s">
        <v>1283</v>
      </c>
      <c r="BE61" s="2" t="s">
        <v>1284</v>
      </c>
      <c r="BF61" s="2" t="s">
        <v>1285</v>
      </c>
      <c r="BG61" s="2" t="s">
        <v>1286</v>
      </c>
      <c r="BH61" s="2" t="s">
        <v>1287</v>
      </c>
      <c r="BJ61" s="2"/>
    </row>
    <row r="62" spans="1:62" ht="30" customHeight="1" x14ac:dyDescent="0.25">
      <c r="A62" s="1" t="s">
        <v>148</v>
      </c>
      <c r="B62" s="1" t="str">
        <f t="shared" si="0"/>
        <v>Alameda,  Contra Costa,  El Dorado,  Napa,  Sacramento,  San Joaquin,  Solano,  Sonoma</v>
      </c>
      <c r="C62" s="2" t="s">
        <v>1236</v>
      </c>
      <c r="I62" s="2" t="s">
        <v>1245</v>
      </c>
      <c r="K62" s="2" t="s">
        <v>1241</v>
      </c>
      <c r="AD62" s="2" t="s">
        <v>1258</v>
      </c>
      <c r="AJ62" s="2" t="s">
        <v>1273</v>
      </c>
      <c r="AO62" s="2" t="s">
        <v>1267</v>
      </c>
      <c r="AX62" s="2" t="s">
        <v>1277</v>
      </c>
      <c r="AY62" s="2" t="s">
        <v>1278</v>
      </c>
      <c r="BJ62" s="2"/>
    </row>
    <row r="63" spans="1:62" ht="30" customHeight="1" x14ac:dyDescent="0.25">
      <c r="A63" s="1" t="s">
        <v>888</v>
      </c>
      <c r="B63" s="1" t="str">
        <f t="shared" si="0"/>
        <v>Fresno,  Kings,  Madera,  Tulare</v>
      </c>
      <c r="C63" s="2"/>
      <c r="L63" s="2" t="s">
        <v>1242</v>
      </c>
      <c r="R63" s="2" t="s">
        <v>1250</v>
      </c>
      <c r="V63" s="2" t="s">
        <v>1252</v>
      </c>
      <c r="BD63" s="2" t="s">
        <v>1283</v>
      </c>
      <c r="BJ63" s="2"/>
    </row>
    <row r="64" spans="1:62" ht="30" customHeight="1" x14ac:dyDescent="0.25">
      <c r="A64" s="1" t="s">
        <v>67</v>
      </c>
      <c r="B64" s="1" t="str">
        <f t="shared" si="0"/>
        <v>Monterey,  San Benito,  San Mateo,  Santa Clara,  Santa Cruz</v>
      </c>
      <c r="C64" s="2"/>
      <c r="AC64" s="2" t="s">
        <v>1257</v>
      </c>
      <c r="AK64" s="2" t="s">
        <v>1290</v>
      </c>
      <c r="AQ64" s="2" t="s">
        <v>1268</v>
      </c>
      <c r="AS64" s="2" t="s">
        <v>1271</v>
      </c>
      <c r="AT64" s="2" t="s">
        <v>1272</v>
      </c>
      <c r="BJ64" s="2"/>
    </row>
    <row r="65" spans="1:62" ht="30" customHeight="1" x14ac:dyDescent="0.25">
      <c r="A65" s="1" t="s">
        <v>258</v>
      </c>
      <c r="B65" s="1" t="str">
        <f t="shared" si="0"/>
        <v>Alameda,  Contra Costa,  Marin,  Napa,  San Francisco,  San Mateo,  Sonoma</v>
      </c>
      <c r="C65" s="2" t="s">
        <v>1236</v>
      </c>
      <c r="I65" s="2" t="s">
        <v>1245</v>
      </c>
      <c r="W65" s="2" t="s">
        <v>988</v>
      </c>
      <c r="AD65" s="2" t="s">
        <v>1258</v>
      </c>
      <c r="AN65" s="2" t="s">
        <v>1266</v>
      </c>
      <c r="AQ65" s="2" t="s">
        <v>1268</v>
      </c>
      <c r="AY65" s="2" t="s">
        <v>1278</v>
      </c>
      <c r="BJ65" s="2"/>
    </row>
    <row r="66" spans="1:62" ht="30" customHeight="1" x14ac:dyDescent="0.25">
      <c r="A66" s="1" t="s">
        <v>914</v>
      </c>
      <c r="B66" s="1" t="str">
        <f t="shared" ref="B66:B129" si="1">_xlfn.TEXTJOIN(",  ",TRUE,C66:BH66)</f>
        <v>El Dorado,  Nevada,  Placer,  Sacramento</v>
      </c>
      <c r="C66" s="2"/>
      <c r="K66" s="2" t="s">
        <v>1241</v>
      </c>
      <c r="AE66" s="2" t="s">
        <v>1259</v>
      </c>
      <c r="AG66" s="2" t="s">
        <v>1261</v>
      </c>
      <c r="AJ66" s="2" t="s">
        <v>1273</v>
      </c>
      <c r="BJ66" s="2"/>
    </row>
    <row r="67" spans="1:62" ht="30" customHeight="1" x14ac:dyDescent="0.25">
      <c r="A67" s="1" t="s">
        <v>917</v>
      </c>
      <c r="B67" s="1" t="str">
        <f t="shared" si="1"/>
        <v>Los Angeles,  Orange,  Riverside,  San Diego</v>
      </c>
      <c r="C67" s="2"/>
      <c r="U67" s="2" t="s">
        <v>1289</v>
      </c>
      <c r="AF67" s="2" t="s">
        <v>1260</v>
      </c>
      <c r="AI67" s="2" t="s">
        <v>1263</v>
      </c>
      <c r="AM67" s="2" t="s">
        <v>1265</v>
      </c>
      <c r="BJ67" s="2"/>
    </row>
    <row r="68" spans="1:62" ht="30" customHeight="1" x14ac:dyDescent="0.25">
      <c r="A68" s="1" t="s">
        <v>391</v>
      </c>
      <c r="B68"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68" s="2" t="s">
        <v>1236</v>
      </c>
      <c r="D68" s="2" t="s">
        <v>1237</v>
      </c>
      <c r="E68" s="2" t="s">
        <v>1238</v>
      </c>
      <c r="F68" s="2" t="s">
        <v>1239</v>
      </c>
      <c r="G68" s="2" t="s">
        <v>1240</v>
      </c>
      <c r="H68" s="2" t="s">
        <v>1244</v>
      </c>
      <c r="I68" s="2" t="s">
        <v>1245</v>
      </c>
      <c r="J68" s="2" t="s">
        <v>1291</v>
      </c>
      <c r="K68" s="2" t="s">
        <v>1241</v>
      </c>
      <c r="L68" s="2" t="s">
        <v>1242</v>
      </c>
      <c r="M68" s="2" t="s">
        <v>1243</v>
      </c>
      <c r="N68" s="2" t="s">
        <v>1246</v>
      </c>
      <c r="O68" s="2" t="s">
        <v>1247</v>
      </c>
      <c r="P68" s="2" t="s">
        <v>1248</v>
      </c>
      <c r="Q68" s="2" t="s">
        <v>1249</v>
      </c>
      <c r="R68" s="2" t="s">
        <v>1250</v>
      </c>
      <c r="S68" s="2" t="s">
        <v>1251</v>
      </c>
      <c r="T68" s="2" t="s">
        <v>1288</v>
      </c>
      <c r="U68" s="2" t="s">
        <v>1289</v>
      </c>
      <c r="V68" s="2" t="s">
        <v>1252</v>
      </c>
      <c r="W68" s="2" t="s">
        <v>988</v>
      </c>
      <c r="X68" s="2" t="s">
        <v>1253</v>
      </c>
      <c r="Y68" s="2" t="s">
        <v>1254</v>
      </c>
      <c r="Z68" s="2" t="s">
        <v>1255</v>
      </c>
      <c r="AA68" s="2" t="s">
        <v>1292</v>
      </c>
      <c r="AB68" s="2" t="s">
        <v>1256</v>
      </c>
      <c r="AC68" s="2" t="s">
        <v>1257</v>
      </c>
      <c r="AD68" s="2" t="s">
        <v>1258</v>
      </c>
      <c r="AE68" s="2" t="s">
        <v>1259</v>
      </c>
      <c r="AF68" s="2" t="s">
        <v>1260</v>
      </c>
      <c r="AG68" s="2" t="s">
        <v>1261</v>
      </c>
      <c r="AH68" s="2" t="s">
        <v>1262</v>
      </c>
      <c r="AI68" s="2" t="s">
        <v>1263</v>
      </c>
      <c r="AJ68" s="2" t="s">
        <v>1273</v>
      </c>
      <c r="AK68" s="2" t="s">
        <v>1290</v>
      </c>
      <c r="AL68" s="2" t="s">
        <v>1264</v>
      </c>
      <c r="AM68" s="2" t="s">
        <v>1265</v>
      </c>
      <c r="AN68" s="2" t="s">
        <v>1266</v>
      </c>
      <c r="AO68" s="2" t="s">
        <v>1267</v>
      </c>
      <c r="AP68" s="2" t="s">
        <v>1269</v>
      </c>
      <c r="AQ68" s="2" t="s">
        <v>1268</v>
      </c>
      <c r="AR68" s="2" t="s">
        <v>1270</v>
      </c>
      <c r="AS68" s="2" t="s">
        <v>1271</v>
      </c>
      <c r="AT68" s="2" t="s">
        <v>1272</v>
      </c>
      <c r="AU68" s="2" t="s">
        <v>1274</v>
      </c>
      <c r="AV68" s="2" t="s">
        <v>1275</v>
      </c>
      <c r="AW68" s="2" t="s">
        <v>1276</v>
      </c>
      <c r="AX68" s="2" t="s">
        <v>1277</v>
      </c>
      <c r="AY68" s="2" t="s">
        <v>1278</v>
      </c>
      <c r="AZ68" s="2" t="s">
        <v>1279</v>
      </c>
      <c r="BA68" s="2" t="s">
        <v>1280</v>
      </c>
      <c r="BB68" s="2" t="s">
        <v>1281</v>
      </c>
      <c r="BC68" s="2" t="s">
        <v>1282</v>
      </c>
      <c r="BD68" s="2" t="s">
        <v>1283</v>
      </c>
      <c r="BE68" s="2" t="s">
        <v>1284</v>
      </c>
      <c r="BF68" s="2" t="s">
        <v>1285</v>
      </c>
      <c r="BG68" s="2" t="s">
        <v>1286</v>
      </c>
      <c r="BH68" s="2" t="s">
        <v>1287</v>
      </c>
      <c r="BJ68" s="2"/>
    </row>
    <row r="69" spans="1:62" ht="30" customHeight="1" x14ac:dyDescent="0.25">
      <c r="A69" s="1" t="s">
        <v>190</v>
      </c>
      <c r="B69" s="1" t="str">
        <f t="shared" si="1"/>
        <v>Los Angeles,  Orange,  Riverside,  San Bernardino,  San Diego,  Ventura</v>
      </c>
      <c r="C69" s="2"/>
      <c r="U69" s="2" t="s">
        <v>1289</v>
      </c>
      <c r="AF69" s="2" t="s">
        <v>1260</v>
      </c>
      <c r="AI69" s="2" t="s">
        <v>1263</v>
      </c>
      <c r="AL69" s="2" t="s">
        <v>1264</v>
      </c>
      <c r="AM69" s="2" t="s">
        <v>1265</v>
      </c>
      <c r="BF69" s="2" t="s">
        <v>1285</v>
      </c>
      <c r="BJ69" s="2"/>
    </row>
    <row r="70" spans="1:62" ht="30" customHeight="1" x14ac:dyDescent="0.25">
      <c r="A70" s="1" t="s">
        <v>872</v>
      </c>
      <c r="B70" s="1" t="str">
        <f t="shared" si="1"/>
        <v>Kern,  Los Angeles,  Orange,  Riverside,  San Bernardino,  San Diego,  Santa Barbara,  Ventura</v>
      </c>
      <c r="C70" s="2"/>
      <c r="Q70" s="2" t="s">
        <v>1249</v>
      </c>
      <c r="U70" s="2" t="s">
        <v>1289</v>
      </c>
      <c r="AF70" s="2" t="s">
        <v>1260</v>
      </c>
      <c r="AI70" s="2" t="s">
        <v>1263</v>
      </c>
      <c r="AL70" s="2" t="s">
        <v>1264</v>
      </c>
      <c r="AM70" s="2" t="s">
        <v>1265</v>
      </c>
      <c r="AR70" s="2" t="s">
        <v>1270</v>
      </c>
      <c r="BF70" s="2" t="s">
        <v>1285</v>
      </c>
      <c r="BJ70" s="2"/>
    </row>
    <row r="71" spans="1:62" ht="30" customHeight="1" x14ac:dyDescent="0.25">
      <c r="A71" s="1" t="s">
        <v>878</v>
      </c>
      <c r="B71" s="1" t="str">
        <f t="shared" si="1"/>
        <v>Humboldt,  Mendocino</v>
      </c>
      <c r="C71" s="2"/>
      <c r="N71" s="2" t="s">
        <v>1246</v>
      </c>
      <c r="Y71" s="2" t="s">
        <v>1254</v>
      </c>
      <c r="BJ71" s="2"/>
    </row>
    <row r="72" spans="1:62" ht="30" customHeight="1" x14ac:dyDescent="0.25">
      <c r="A72" s="1" t="s">
        <v>153</v>
      </c>
      <c r="B72" s="1" t="str">
        <f t="shared" si="1"/>
        <v>Alameda,  Contra Costa</v>
      </c>
      <c r="C72" s="2" t="s">
        <v>1236</v>
      </c>
      <c r="I72" s="2" t="s">
        <v>1245</v>
      </c>
      <c r="BJ72" s="2"/>
    </row>
    <row r="73" spans="1:62" ht="30" customHeight="1" x14ac:dyDescent="0.25">
      <c r="A73" s="1" t="s">
        <v>330</v>
      </c>
      <c r="B73" s="1" t="str">
        <f t="shared" si="1"/>
        <v>Alameda,  Amador,  Butte,  Calaveras,  Colusa,  Contra Costa,  El Dorado,  Glenn,  Lake,  Marin,  Mariposa,  Mendocino,  Merced,  Monterey,  Napa,  Nevada,  Placer,  Plumas,  Sacramento,  San Benito,  San Francisco,  San Joaquin,  San Mateo,  Santa Clara,  Santa Cruz,  Sierra,  Solano,  Sonoma,  Stanislaus,  Sutter,  Tuolumne,  Yolo,  Yuba</v>
      </c>
      <c r="C73" s="2" t="s">
        <v>1236</v>
      </c>
      <c r="E73" s="2" t="s">
        <v>1238</v>
      </c>
      <c r="F73" s="2" t="s">
        <v>1239</v>
      </c>
      <c r="G73" s="2" t="s">
        <v>1240</v>
      </c>
      <c r="H73" s="2" t="s">
        <v>1244</v>
      </c>
      <c r="I73" s="2" t="s">
        <v>1245</v>
      </c>
      <c r="K73" s="2" t="s">
        <v>1241</v>
      </c>
      <c r="M73" s="2" t="s">
        <v>1243</v>
      </c>
      <c r="S73" s="2" t="s">
        <v>1251</v>
      </c>
      <c r="W73" s="2" t="s">
        <v>988</v>
      </c>
      <c r="X73" s="2" t="s">
        <v>1253</v>
      </c>
      <c r="Y73" s="2" t="s">
        <v>1254</v>
      </c>
      <c r="Z73" s="2" t="s">
        <v>1255</v>
      </c>
      <c r="AC73" s="2" t="s">
        <v>1257</v>
      </c>
      <c r="AD73" s="2" t="s">
        <v>1258</v>
      </c>
      <c r="AE73" s="2" t="s">
        <v>1259</v>
      </c>
      <c r="AG73" s="2" t="s">
        <v>1261</v>
      </c>
      <c r="AH73" s="2" t="s">
        <v>1262</v>
      </c>
      <c r="AJ73" s="2" t="s">
        <v>1273</v>
      </c>
      <c r="AK73" s="2" t="s">
        <v>1290</v>
      </c>
      <c r="AN73" s="2" t="s">
        <v>1266</v>
      </c>
      <c r="AO73" s="2" t="s">
        <v>1267</v>
      </c>
      <c r="AQ73" s="2" t="s">
        <v>1268</v>
      </c>
      <c r="AS73" s="2" t="s">
        <v>1271</v>
      </c>
      <c r="AT73" s="2" t="s">
        <v>1272</v>
      </c>
      <c r="AV73" s="2" t="s">
        <v>1275</v>
      </c>
      <c r="AX73" s="2" t="s">
        <v>1277</v>
      </c>
      <c r="AY73" s="2" t="s">
        <v>1278</v>
      </c>
      <c r="AZ73" s="2" t="s">
        <v>1279</v>
      </c>
      <c r="BA73" s="2" t="s">
        <v>1280</v>
      </c>
      <c r="BE73" s="2" t="s">
        <v>1284</v>
      </c>
      <c r="BG73" s="2" t="s">
        <v>1286</v>
      </c>
      <c r="BH73" s="2" t="s">
        <v>1287</v>
      </c>
      <c r="BJ73" s="2"/>
    </row>
    <row r="74" spans="1:62" ht="30" customHeight="1" x14ac:dyDescent="0.25">
      <c r="A74" s="1" t="s">
        <v>532</v>
      </c>
      <c r="B74"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4" s="2" t="s">
        <v>1236</v>
      </c>
      <c r="D74" s="2" t="s">
        <v>1237</v>
      </c>
      <c r="E74" s="2" t="s">
        <v>1238</v>
      </c>
      <c r="F74" s="2" t="s">
        <v>1239</v>
      </c>
      <c r="G74" s="2" t="s">
        <v>1240</v>
      </c>
      <c r="H74" s="2" t="s">
        <v>1244</v>
      </c>
      <c r="I74" s="2" t="s">
        <v>1245</v>
      </c>
      <c r="J74" s="2" t="s">
        <v>1291</v>
      </c>
      <c r="K74" s="2" t="s">
        <v>1241</v>
      </c>
      <c r="L74" s="2" t="s">
        <v>1242</v>
      </c>
      <c r="M74" s="2" t="s">
        <v>1243</v>
      </c>
      <c r="N74" s="2" t="s">
        <v>1246</v>
      </c>
      <c r="O74" s="2" t="s">
        <v>1247</v>
      </c>
      <c r="P74" s="2" t="s">
        <v>1248</v>
      </c>
      <c r="Q74" s="2" t="s">
        <v>1249</v>
      </c>
      <c r="R74" s="2" t="s">
        <v>1250</v>
      </c>
      <c r="S74" s="2" t="s">
        <v>1251</v>
      </c>
      <c r="T74" s="2" t="s">
        <v>1288</v>
      </c>
      <c r="U74" s="2" t="s">
        <v>1289</v>
      </c>
      <c r="V74" s="2" t="s">
        <v>1252</v>
      </c>
      <c r="W74" s="2" t="s">
        <v>988</v>
      </c>
      <c r="X74" s="2" t="s">
        <v>1253</v>
      </c>
      <c r="Y74" s="2" t="s">
        <v>1254</v>
      </c>
      <c r="Z74" s="2" t="s">
        <v>1255</v>
      </c>
      <c r="AA74" s="2" t="s">
        <v>1292</v>
      </c>
      <c r="AB74" s="2" t="s">
        <v>1256</v>
      </c>
      <c r="AC74" s="2" t="s">
        <v>1257</v>
      </c>
      <c r="AD74" s="2" t="s">
        <v>1258</v>
      </c>
      <c r="AE74" s="2" t="s">
        <v>1259</v>
      </c>
      <c r="AF74" s="2" t="s">
        <v>1260</v>
      </c>
      <c r="AG74" s="2" t="s">
        <v>1261</v>
      </c>
      <c r="AH74" s="2" t="s">
        <v>1262</v>
      </c>
      <c r="AI74" s="2" t="s">
        <v>1263</v>
      </c>
      <c r="AJ74" s="2" t="s">
        <v>1273</v>
      </c>
      <c r="AK74" s="2" t="s">
        <v>1290</v>
      </c>
      <c r="AL74" s="2" t="s">
        <v>1264</v>
      </c>
      <c r="AM74" s="2" t="s">
        <v>1265</v>
      </c>
      <c r="AN74" s="2" t="s">
        <v>1266</v>
      </c>
      <c r="AO74" s="2" t="s">
        <v>1267</v>
      </c>
      <c r="AP74" s="2" t="s">
        <v>1269</v>
      </c>
      <c r="AQ74" s="2" t="s">
        <v>1268</v>
      </c>
      <c r="AR74" s="2" t="s">
        <v>1270</v>
      </c>
      <c r="AS74" s="2" t="s">
        <v>1271</v>
      </c>
      <c r="AT74" s="2" t="s">
        <v>1272</v>
      </c>
      <c r="AU74" s="2" t="s">
        <v>1274</v>
      </c>
      <c r="AV74" s="2" t="s">
        <v>1275</v>
      </c>
      <c r="AW74" s="2" t="s">
        <v>1276</v>
      </c>
      <c r="AX74" s="2" t="s">
        <v>1277</v>
      </c>
      <c r="AY74" s="2" t="s">
        <v>1278</v>
      </c>
      <c r="AZ74" s="2" t="s">
        <v>1279</v>
      </c>
      <c r="BA74" s="2" t="s">
        <v>1280</v>
      </c>
      <c r="BB74" s="2" t="s">
        <v>1281</v>
      </c>
      <c r="BC74" s="2" t="s">
        <v>1282</v>
      </c>
      <c r="BD74" s="2" t="s">
        <v>1283</v>
      </c>
      <c r="BE74" s="2" t="s">
        <v>1284</v>
      </c>
      <c r="BF74" s="2" t="s">
        <v>1285</v>
      </c>
      <c r="BG74" s="2" t="s">
        <v>1286</v>
      </c>
      <c r="BH74" s="2" t="s">
        <v>1287</v>
      </c>
      <c r="BJ74" s="2"/>
    </row>
    <row r="75" spans="1:62" ht="30" customHeight="1" x14ac:dyDescent="0.25">
      <c r="A75" s="1" t="s">
        <v>280</v>
      </c>
      <c r="B75"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5" s="2" t="s">
        <v>1236</v>
      </c>
      <c r="D75" s="2" t="s">
        <v>1237</v>
      </c>
      <c r="E75" s="2" t="s">
        <v>1238</v>
      </c>
      <c r="F75" s="2" t="s">
        <v>1239</v>
      </c>
      <c r="G75" s="2" t="s">
        <v>1240</v>
      </c>
      <c r="H75" s="2" t="s">
        <v>1244</v>
      </c>
      <c r="I75" s="2" t="s">
        <v>1245</v>
      </c>
      <c r="J75" s="2" t="s">
        <v>1291</v>
      </c>
      <c r="K75" s="2" t="s">
        <v>1241</v>
      </c>
      <c r="L75" s="2" t="s">
        <v>1242</v>
      </c>
      <c r="M75" s="2" t="s">
        <v>1243</v>
      </c>
      <c r="N75" s="2" t="s">
        <v>1246</v>
      </c>
      <c r="O75" s="2" t="s">
        <v>1247</v>
      </c>
      <c r="P75" s="2" t="s">
        <v>1248</v>
      </c>
      <c r="Q75" s="2" t="s">
        <v>1249</v>
      </c>
      <c r="R75" s="2" t="s">
        <v>1250</v>
      </c>
      <c r="S75" s="2" t="s">
        <v>1251</v>
      </c>
      <c r="T75" s="2" t="s">
        <v>1288</v>
      </c>
      <c r="U75" s="2" t="s">
        <v>1289</v>
      </c>
      <c r="V75" s="2" t="s">
        <v>1252</v>
      </c>
      <c r="W75" s="2" t="s">
        <v>988</v>
      </c>
      <c r="X75" s="2" t="s">
        <v>1253</v>
      </c>
      <c r="Y75" s="2" t="s">
        <v>1254</v>
      </c>
      <c r="Z75" s="2" t="s">
        <v>1255</v>
      </c>
      <c r="AA75" s="2" t="s">
        <v>1292</v>
      </c>
      <c r="AB75" s="2" t="s">
        <v>1256</v>
      </c>
      <c r="AC75" s="2" t="s">
        <v>1257</v>
      </c>
      <c r="AD75" s="2" t="s">
        <v>1258</v>
      </c>
      <c r="AE75" s="2" t="s">
        <v>1259</v>
      </c>
      <c r="AF75" s="2" t="s">
        <v>1260</v>
      </c>
      <c r="AG75" s="2" t="s">
        <v>1261</v>
      </c>
      <c r="AH75" s="2" t="s">
        <v>1262</v>
      </c>
      <c r="AI75" s="2" t="s">
        <v>1263</v>
      </c>
      <c r="AJ75" s="2" t="s">
        <v>1273</v>
      </c>
      <c r="AK75" s="2" t="s">
        <v>1290</v>
      </c>
      <c r="AL75" s="2" t="s">
        <v>1264</v>
      </c>
      <c r="AM75" s="2" t="s">
        <v>1265</v>
      </c>
      <c r="AN75" s="2" t="s">
        <v>1266</v>
      </c>
      <c r="AO75" s="2" t="s">
        <v>1267</v>
      </c>
      <c r="AP75" s="2" t="s">
        <v>1269</v>
      </c>
      <c r="AQ75" s="2" t="s">
        <v>1268</v>
      </c>
      <c r="AR75" s="2" t="s">
        <v>1270</v>
      </c>
      <c r="AS75" s="2" t="s">
        <v>1271</v>
      </c>
      <c r="AT75" s="2" t="s">
        <v>1272</v>
      </c>
      <c r="AU75" s="2" t="s">
        <v>1274</v>
      </c>
      <c r="AV75" s="2" t="s">
        <v>1275</v>
      </c>
      <c r="AW75" s="2" t="s">
        <v>1276</v>
      </c>
      <c r="AX75" s="2" t="s">
        <v>1277</v>
      </c>
      <c r="AY75" s="2" t="s">
        <v>1278</v>
      </c>
      <c r="AZ75" s="2" t="s">
        <v>1279</v>
      </c>
      <c r="BA75" s="2" t="s">
        <v>1280</v>
      </c>
      <c r="BB75" s="2" t="s">
        <v>1281</v>
      </c>
      <c r="BC75" s="2" t="s">
        <v>1282</v>
      </c>
      <c r="BD75" s="2" t="s">
        <v>1283</v>
      </c>
      <c r="BE75" s="2" t="s">
        <v>1284</v>
      </c>
      <c r="BF75" s="2" t="s">
        <v>1285</v>
      </c>
      <c r="BG75" s="2" t="s">
        <v>1286</v>
      </c>
      <c r="BH75" s="2" t="s">
        <v>1287</v>
      </c>
      <c r="BJ75" s="2"/>
    </row>
    <row r="76" spans="1:62" ht="30" customHeight="1" x14ac:dyDescent="0.25">
      <c r="A76" s="1" t="s">
        <v>211</v>
      </c>
      <c r="B76" s="1" t="str">
        <f t="shared" si="1"/>
        <v>Imperial,  Los Angeles,  Mendocino,  Napa,  Orange,  Riverside,  Sacramento,  San Bernardino,  San Diego,  San Francisco,  San Joaquin,  Santa Clara,  Santa Cruz,  Sonoma,  Ventura</v>
      </c>
      <c r="C76" s="2"/>
      <c r="O76" s="2" t="s">
        <v>1247</v>
      </c>
      <c r="U76" s="2" t="s">
        <v>1289</v>
      </c>
      <c r="Y76" s="2" t="s">
        <v>1254</v>
      </c>
      <c r="AD76" s="2" t="s">
        <v>1258</v>
      </c>
      <c r="AF76" s="2" t="s">
        <v>1260</v>
      </c>
      <c r="AI76" s="2" t="s">
        <v>1263</v>
      </c>
      <c r="AJ76" s="2" t="s">
        <v>1273</v>
      </c>
      <c r="AL76" s="2" t="s">
        <v>1264</v>
      </c>
      <c r="AM76" s="2" t="s">
        <v>1265</v>
      </c>
      <c r="AN76" s="2" t="s">
        <v>1266</v>
      </c>
      <c r="AO76" s="2" t="s">
        <v>1267</v>
      </c>
      <c r="AS76" s="2" t="s">
        <v>1271</v>
      </c>
      <c r="AT76" s="2" t="s">
        <v>1272</v>
      </c>
      <c r="AY76" s="2" t="s">
        <v>1278</v>
      </c>
      <c r="BF76" s="2" t="s">
        <v>1285</v>
      </c>
      <c r="BJ76" s="2"/>
    </row>
    <row r="77" spans="1:62" ht="30" customHeight="1" x14ac:dyDescent="0.25">
      <c r="A77" s="1" t="s">
        <v>896</v>
      </c>
      <c r="B77" s="1" t="str">
        <f t="shared" si="1"/>
        <v>Inyo,  Kern,  Los Angeles,  San Bernardino,  San Diego,  Santa Barbara</v>
      </c>
      <c r="C77" s="2"/>
      <c r="P77" s="2" t="s">
        <v>1248</v>
      </c>
      <c r="Q77" s="2" t="s">
        <v>1249</v>
      </c>
      <c r="U77" s="2" t="s">
        <v>1289</v>
      </c>
      <c r="AL77" s="2" t="s">
        <v>1264</v>
      </c>
      <c r="AM77" s="2" t="s">
        <v>1265</v>
      </c>
      <c r="AR77" s="2" t="s">
        <v>1270</v>
      </c>
      <c r="BJ77" s="2"/>
    </row>
    <row r="78" spans="1:62" ht="30" customHeight="1" x14ac:dyDescent="0.25">
      <c r="A78" s="1" t="s">
        <v>853</v>
      </c>
      <c r="B78"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8" s="2" t="s">
        <v>1236</v>
      </c>
      <c r="D78" s="2" t="s">
        <v>1237</v>
      </c>
      <c r="E78" s="2" t="s">
        <v>1238</v>
      </c>
      <c r="F78" s="2" t="s">
        <v>1239</v>
      </c>
      <c r="G78" s="2" t="s">
        <v>1240</v>
      </c>
      <c r="H78" s="2" t="s">
        <v>1244</v>
      </c>
      <c r="I78" s="2" t="s">
        <v>1245</v>
      </c>
      <c r="J78" s="2" t="s">
        <v>1291</v>
      </c>
      <c r="K78" s="2" t="s">
        <v>1241</v>
      </c>
      <c r="L78" s="2" t="s">
        <v>1242</v>
      </c>
      <c r="M78" s="2" t="s">
        <v>1243</v>
      </c>
      <c r="N78" s="2" t="s">
        <v>1246</v>
      </c>
      <c r="O78" s="2" t="s">
        <v>1247</v>
      </c>
      <c r="P78" s="2" t="s">
        <v>1248</v>
      </c>
      <c r="Q78" s="2" t="s">
        <v>1249</v>
      </c>
      <c r="R78" s="2" t="s">
        <v>1250</v>
      </c>
      <c r="S78" s="2" t="s">
        <v>1251</v>
      </c>
      <c r="T78" s="2" t="s">
        <v>1288</v>
      </c>
      <c r="U78" s="2" t="s">
        <v>1289</v>
      </c>
      <c r="V78" s="2" t="s">
        <v>1252</v>
      </c>
      <c r="W78" s="2" t="s">
        <v>988</v>
      </c>
      <c r="X78" s="2" t="s">
        <v>1253</v>
      </c>
      <c r="Y78" s="2" t="s">
        <v>1254</v>
      </c>
      <c r="Z78" s="2" t="s">
        <v>1255</v>
      </c>
      <c r="AA78" s="2" t="s">
        <v>1292</v>
      </c>
      <c r="AB78" s="2" t="s">
        <v>1256</v>
      </c>
      <c r="AC78" s="2" t="s">
        <v>1257</v>
      </c>
      <c r="AD78" s="2" t="s">
        <v>1258</v>
      </c>
      <c r="AE78" s="2" t="s">
        <v>1259</v>
      </c>
      <c r="AF78" s="2" t="s">
        <v>1260</v>
      </c>
      <c r="AG78" s="2" t="s">
        <v>1261</v>
      </c>
      <c r="AH78" s="2" t="s">
        <v>1262</v>
      </c>
      <c r="AI78" s="2" t="s">
        <v>1263</v>
      </c>
      <c r="AJ78" s="2" t="s">
        <v>1273</v>
      </c>
      <c r="AK78" s="2" t="s">
        <v>1290</v>
      </c>
      <c r="AL78" s="2" t="s">
        <v>1264</v>
      </c>
      <c r="AM78" s="2" t="s">
        <v>1265</v>
      </c>
      <c r="AN78" s="2" t="s">
        <v>1266</v>
      </c>
      <c r="AO78" s="2" t="s">
        <v>1267</v>
      </c>
      <c r="AP78" s="2" t="s">
        <v>1269</v>
      </c>
      <c r="AQ78" s="2" t="s">
        <v>1268</v>
      </c>
      <c r="AR78" s="2" t="s">
        <v>1270</v>
      </c>
      <c r="AS78" s="2" t="s">
        <v>1271</v>
      </c>
      <c r="AT78" s="2" t="s">
        <v>1272</v>
      </c>
      <c r="AU78" s="2" t="s">
        <v>1274</v>
      </c>
      <c r="AV78" s="2" t="s">
        <v>1275</v>
      </c>
      <c r="AW78" s="2" t="s">
        <v>1276</v>
      </c>
      <c r="AX78" s="2" t="s">
        <v>1277</v>
      </c>
      <c r="AY78" s="2" t="s">
        <v>1278</v>
      </c>
      <c r="AZ78" s="2" t="s">
        <v>1279</v>
      </c>
      <c r="BA78" s="2" t="s">
        <v>1280</v>
      </c>
      <c r="BB78" s="2" t="s">
        <v>1281</v>
      </c>
      <c r="BC78" s="2" t="s">
        <v>1282</v>
      </c>
      <c r="BD78" s="2" t="s">
        <v>1283</v>
      </c>
      <c r="BE78" s="2" t="s">
        <v>1284</v>
      </c>
      <c r="BF78" s="2" t="s">
        <v>1285</v>
      </c>
      <c r="BG78" s="2" t="s">
        <v>1286</v>
      </c>
      <c r="BH78" s="2" t="s">
        <v>1287</v>
      </c>
      <c r="BJ78" s="2"/>
    </row>
    <row r="79" spans="1:62" ht="30" customHeight="1" x14ac:dyDescent="0.25">
      <c r="A79" s="1" t="s">
        <v>1216</v>
      </c>
      <c r="B79" s="1" t="str">
        <f t="shared" si="1"/>
        <v>Alameda,  Marin,  San Francisco</v>
      </c>
      <c r="C79" s="2" t="s">
        <v>1236</v>
      </c>
      <c r="W79" s="2" t="s">
        <v>988</v>
      </c>
      <c r="AN79" s="2" t="s">
        <v>1266</v>
      </c>
      <c r="BJ79" s="2"/>
    </row>
    <row r="80" spans="1:62" ht="30" customHeight="1" x14ac:dyDescent="0.25">
      <c r="A80" s="1" t="s">
        <v>537</v>
      </c>
      <c r="B80" s="1" t="str">
        <f t="shared" si="1"/>
        <v>Los Angeles,  San Bernardino,  San Diego,  Ventura</v>
      </c>
      <c r="C80" s="2"/>
      <c r="U80" s="2" t="s">
        <v>1289</v>
      </c>
      <c r="AL80" s="2" t="s">
        <v>1264</v>
      </c>
      <c r="AM80" s="2" t="s">
        <v>1265</v>
      </c>
      <c r="BF80" s="2" t="s">
        <v>1285</v>
      </c>
      <c r="BJ80" s="2"/>
    </row>
    <row r="81" spans="1:62" ht="30" customHeight="1" x14ac:dyDescent="0.25">
      <c r="A81" s="1" t="s">
        <v>526</v>
      </c>
      <c r="B81" s="1" t="str">
        <f t="shared" si="1"/>
        <v>Marin,  Napa,  Sonoma</v>
      </c>
      <c r="C81" s="2"/>
      <c r="W81" s="2" t="s">
        <v>988</v>
      </c>
      <c r="AD81" s="2" t="s">
        <v>1258</v>
      </c>
      <c r="AY81" s="2" t="s">
        <v>1278</v>
      </c>
      <c r="BJ81" s="2"/>
    </row>
    <row r="82" spans="1:62" ht="30" customHeight="1" x14ac:dyDescent="0.25">
      <c r="A82" s="1" t="s">
        <v>275</v>
      </c>
      <c r="B82" s="1" t="str">
        <f t="shared" si="1"/>
        <v>Alameda,  Alpine,  Amador,  Butte,  Calaveras,  Colusa,  Contra Costa,  El Dorado,  Fresno,  Glenn,  Humboldt,  Imperial,  Inyo,  Kern,  Kings,  Lake,  Lassen,  Los Angeles,  Madera,  Marin,  Mariposa,  Mendocino,  Merced,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82" s="2" t="s">
        <v>1236</v>
      </c>
      <c r="D82" s="2" t="s">
        <v>1237</v>
      </c>
      <c r="E82" s="2" t="s">
        <v>1238</v>
      </c>
      <c r="F82" s="2" t="s">
        <v>1239</v>
      </c>
      <c r="G82" s="2" t="s">
        <v>1240</v>
      </c>
      <c r="H82" s="2" t="s">
        <v>1244</v>
      </c>
      <c r="I82" s="2" t="s">
        <v>1245</v>
      </c>
      <c r="K82" s="2" t="s">
        <v>1241</v>
      </c>
      <c r="L82" s="2" t="s">
        <v>1242</v>
      </c>
      <c r="M82" s="2" t="s">
        <v>1243</v>
      </c>
      <c r="N82" s="2" t="s">
        <v>1246</v>
      </c>
      <c r="O82" s="2" t="s">
        <v>1247</v>
      </c>
      <c r="P82" s="2" t="s">
        <v>1248</v>
      </c>
      <c r="Q82" s="2" t="s">
        <v>1249</v>
      </c>
      <c r="R82" s="2" t="s">
        <v>1250</v>
      </c>
      <c r="S82" s="2" t="s">
        <v>1251</v>
      </c>
      <c r="T82" s="2" t="s">
        <v>1288</v>
      </c>
      <c r="U82" s="2" t="s">
        <v>1289</v>
      </c>
      <c r="V82" s="2" t="s">
        <v>1252</v>
      </c>
      <c r="W82" s="2" t="s">
        <v>988</v>
      </c>
      <c r="X82" s="2" t="s">
        <v>1253</v>
      </c>
      <c r="Y82" s="2" t="s">
        <v>1254</v>
      </c>
      <c r="Z82" s="2" t="s">
        <v>1255</v>
      </c>
      <c r="AB82" s="2" t="s">
        <v>1256</v>
      </c>
      <c r="AC82" s="2" t="s">
        <v>1257</v>
      </c>
      <c r="AD82" s="2" t="s">
        <v>1258</v>
      </c>
      <c r="AE82" s="2" t="s">
        <v>1259</v>
      </c>
      <c r="AF82" s="2" t="s">
        <v>1260</v>
      </c>
      <c r="AG82" s="2" t="s">
        <v>1261</v>
      </c>
      <c r="AH82" s="2" t="s">
        <v>1262</v>
      </c>
      <c r="AI82" s="2" t="s">
        <v>1263</v>
      </c>
      <c r="AJ82" s="2" t="s">
        <v>1273</v>
      </c>
      <c r="AK82" s="2" t="s">
        <v>1290</v>
      </c>
      <c r="AL82" s="2" t="s">
        <v>1264</v>
      </c>
      <c r="AM82" s="2" t="s">
        <v>1265</v>
      </c>
      <c r="AN82" s="2" t="s">
        <v>1266</v>
      </c>
      <c r="AO82" s="2" t="s">
        <v>1267</v>
      </c>
      <c r="AP82" s="2" t="s">
        <v>1269</v>
      </c>
      <c r="AQ82" s="2" t="s">
        <v>1268</v>
      </c>
      <c r="AR82" s="2" t="s">
        <v>1270</v>
      </c>
      <c r="AS82" s="2" t="s">
        <v>1271</v>
      </c>
      <c r="AT82" s="2" t="s">
        <v>1272</v>
      </c>
      <c r="AU82" s="2" t="s">
        <v>1274</v>
      </c>
      <c r="AV82" s="2" t="s">
        <v>1275</v>
      </c>
      <c r="AW82" s="2" t="s">
        <v>1276</v>
      </c>
      <c r="AX82" s="2" t="s">
        <v>1277</v>
      </c>
      <c r="AY82" s="2" t="s">
        <v>1278</v>
      </c>
      <c r="AZ82" s="2" t="s">
        <v>1279</v>
      </c>
      <c r="BA82" s="2" t="s">
        <v>1280</v>
      </c>
      <c r="BB82" s="2" t="s">
        <v>1281</v>
      </c>
      <c r="BC82" s="2" t="s">
        <v>1282</v>
      </c>
      <c r="BD82" s="2" t="s">
        <v>1283</v>
      </c>
      <c r="BE82" s="2" t="s">
        <v>1284</v>
      </c>
      <c r="BF82" s="2" t="s">
        <v>1285</v>
      </c>
      <c r="BG82" s="2" t="s">
        <v>1286</v>
      </c>
      <c r="BH82" s="2" t="s">
        <v>1287</v>
      </c>
      <c r="BJ82" s="2"/>
    </row>
    <row r="83" spans="1:62" s="10" customFormat="1" ht="30" customHeight="1" x14ac:dyDescent="0.25">
      <c r="A83" s="9" t="s">
        <v>253</v>
      </c>
      <c r="B83" s="1" t="str">
        <f t="shared" si="1"/>
        <v>Alameda,  Calaveras,  Fresno,  Imperial,  Inyo,  Kern,  Los Angeles,  Marin,  Mariposa,  Merced,  Mono,  Monterey,  Napa,  Nevada,  Orange,  Placer,  Riverside,  Sacramento,  San Bernardino,  San Diego,  San Francisco,  San Joaquin,  San Luis Obispo,  San Mateo,  Santa Barbara,  Santa Clara,  Santa Cruz,  Sonoma,  Stanislaus,  Ventura</v>
      </c>
      <c r="C83" s="10" t="s">
        <v>1236</v>
      </c>
      <c r="G83" s="10" t="s">
        <v>1240</v>
      </c>
      <c r="L83" s="10" t="s">
        <v>1242</v>
      </c>
      <c r="O83" s="10" t="s">
        <v>1247</v>
      </c>
      <c r="P83" s="10" t="s">
        <v>1248</v>
      </c>
      <c r="Q83" s="10" t="s">
        <v>1249</v>
      </c>
      <c r="U83" s="10" t="s">
        <v>1289</v>
      </c>
      <c r="W83" s="10" t="s">
        <v>988</v>
      </c>
      <c r="X83" s="10" t="s">
        <v>1253</v>
      </c>
      <c r="Z83" s="10" t="s">
        <v>1255</v>
      </c>
      <c r="AB83" s="10" t="s">
        <v>1256</v>
      </c>
      <c r="AC83" s="10" t="s">
        <v>1257</v>
      </c>
      <c r="AD83" s="10" t="s">
        <v>1258</v>
      </c>
      <c r="AE83" s="10" t="s">
        <v>1259</v>
      </c>
      <c r="AF83" s="10" t="s">
        <v>1260</v>
      </c>
      <c r="AG83" s="10" t="s">
        <v>1261</v>
      </c>
      <c r="AI83" s="10" t="s">
        <v>1263</v>
      </c>
      <c r="AJ83" s="10" t="s">
        <v>1273</v>
      </c>
      <c r="AL83" s="10" t="s">
        <v>1264</v>
      </c>
      <c r="AM83" s="10" t="s">
        <v>1265</v>
      </c>
      <c r="AN83" s="10" t="s">
        <v>1266</v>
      </c>
      <c r="AO83" s="10" t="s">
        <v>1267</v>
      </c>
      <c r="AP83" s="10" t="s">
        <v>1269</v>
      </c>
      <c r="AQ83" s="10" t="s">
        <v>1268</v>
      </c>
      <c r="AR83" s="10" t="s">
        <v>1270</v>
      </c>
      <c r="AS83" s="10" t="s">
        <v>1271</v>
      </c>
      <c r="AT83" s="10" t="s">
        <v>1272</v>
      </c>
      <c r="AY83" s="10" t="s">
        <v>1278</v>
      </c>
      <c r="AZ83" s="10" t="s">
        <v>1279</v>
      </c>
      <c r="BF83" s="10" t="s">
        <v>1285</v>
      </c>
    </row>
    <row r="84" spans="1:62" ht="30" customHeight="1" x14ac:dyDescent="0.25">
      <c r="A84" s="1" t="s">
        <v>327</v>
      </c>
      <c r="B84" s="1" t="str">
        <f t="shared" si="1"/>
        <v>Fresno,  Kern,  Los Angeles,  Madera,  Orange,  Riverside,  San Bernardino,  San Diego</v>
      </c>
      <c r="C84" s="2"/>
      <c r="L84" s="2" t="s">
        <v>1242</v>
      </c>
      <c r="Q84" s="2" t="s">
        <v>1249</v>
      </c>
      <c r="U84" s="2" t="s">
        <v>1289</v>
      </c>
      <c r="V84" s="2" t="s">
        <v>1252</v>
      </c>
      <c r="AF84" s="2" t="s">
        <v>1260</v>
      </c>
      <c r="AI84" s="2" t="s">
        <v>1263</v>
      </c>
      <c r="AL84" s="2" t="s">
        <v>1264</v>
      </c>
      <c r="AM84" s="2" t="s">
        <v>1265</v>
      </c>
      <c r="BJ84" s="2"/>
    </row>
    <row r="85" spans="1:62" ht="30" customHeight="1" x14ac:dyDescent="0.25">
      <c r="A85" s="1" t="s">
        <v>929</v>
      </c>
      <c r="B85" s="1" t="str">
        <f t="shared" si="1"/>
        <v>Alameda,  Contra Costa,  Fresno,  Marin,  Monterey,  Napa,  Sacramento,  San Benito,  San Francisco,  San Mateo,  Santa Clara,  Santa Cruz,  Sonoma</v>
      </c>
      <c r="C85" s="2" t="s">
        <v>1236</v>
      </c>
      <c r="I85" s="2" t="s">
        <v>1245</v>
      </c>
      <c r="L85" s="2" t="s">
        <v>1242</v>
      </c>
      <c r="W85" s="2" t="s">
        <v>988</v>
      </c>
      <c r="AC85" s="2" t="s">
        <v>1257</v>
      </c>
      <c r="AD85" s="2" t="s">
        <v>1258</v>
      </c>
      <c r="AJ85" s="2" t="s">
        <v>1273</v>
      </c>
      <c r="AK85" s="2" t="s">
        <v>1290</v>
      </c>
      <c r="AN85" s="2" t="s">
        <v>1266</v>
      </c>
      <c r="AQ85" s="2" t="s">
        <v>1268</v>
      </c>
      <c r="AS85" s="2" t="s">
        <v>1271</v>
      </c>
      <c r="AT85" s="2" t="s">
        <v>1272</v>
      </c>
      <c r="AY85" s="2" t="s">
        <v>1278</v>
      </c>
      <c r="BJ85" s="2"/>
    </row>
    <row r="86" spans="1:62" ht="30" customHeight="1" x14ac:dyDescent="0.25">
      <c r="A86" s="1" t="s">
        <v>876</v>
      </c>
      <c r="B86" s="1" t="str">
        <f t="shared" si="1"/>
        <v>Lake,  Mendocino,  Napa,  Sonoma</v>
      </c>
      <c r="C86" s="2"/>
      <c r="S86" s="2" t="s">
        <v>1251</v>
      </c>
      <c r="Y86" s="2" t="s">
        <v>1254</v>
      </c>
      <c r="AD86" s="2" t="s">
        <v>1258</v>
      </c>
      <c r="AY86" s="2" t="s">
        <v>1278</v>
      </c>
      <c r="BJ86" s="2"/>
    </row>
    <row r="87" spans="1:62" ht="30" customHeight="1" x14ac:dyDescent="0.25">
      <c r="A87" s="1" t="s">
        <v>323</v>
      </c>
      <c r="B87" s="1" t="str">
        <f t="shared" si="1"/>
        <v>Alameda,  Amador,  Calaveras,  Contra Costa,  El Dorado,  Los Angeles,  Orange,  Placer,  Riverside,  Sacramento,  San Bernardino,  San Joaquin,  Solano,  Stanislaus,  Yuba</v>
      </c>
      <c r="C87" s="2" t="s">
        <v>1236</v>
      </c>
      <c r="E87" s="2" t="s">
        <v>1238</v>
      </c>
      <c r="G87" s="2" t="s">
        <v>1240</v>
      </c>
      <c r="I87" s="2" t="s">
        <v>1245</v>
      </c>
      <c r="K87" s="2" t="s">
        <v>1241</v>
      </c>
      <c r="U87" s="2" t="s">
        <v>1289</v>
      </c>
      <c r="AF87" s="2" t="s">
        <v>1260</v>
      </c>
      <c r="AG87" s="2" t="s">
        <v>1261</v>
      </c>
      <c r="AI87" s="2" t="s">
        <v>1263</v>
      </c>
      <c r="AJ87" s="2" t="s">
        <v>1273</v>
      </c>
      <c r="AL87" s="2" t="s">
        <v>1264</v>
      </c>
      <c r="AO87" s="2" t="s">
        <v>1267</v>
      </c>
      <c r="AX87" s="2" t="s">
        <v>1277</v>
      </c>
      <c r="AZ87" s="2" t="s">
        <v>1279</v>
      </c>
      <c r="BH87" s="2" t="s">
        <v>1287</v>
      </c>
      <c r="BJ87" s="2"/>
    </row>
    <row r="88" spans="1:62" ht="30" customHeight="1" x14ac:dyDescent="0.25">
      <c r="A88" s="1" t="s">
        <v>930</v>
      </c>
      <c r="B88" s="1" t="str">
        <f t="shared" si="1"/>
        <v>San Diego</v>
      </c>
      <c r="C88" s="2"/>
      <c r="AM88" s="2" t="s">
        <v>1265</v>
      </c>
      <c r="BJ88" s="2"/>
    </row>
    <row r="89" spans="1:62" ht="30" customHeight="1" x14ac:dyDescent="0.25">
      <c r="A89" s="1" t="s">
        <v>417</v>
      </c>
      <c r="B89" s="1" t="str">
        <f t="shared" si="1"/>
        <v>Imperial,  Kern,  Los Angeles,  Orange,  Riverside,  San Bernardino,  San Diego,  Santa Barbara,  Ventura</v>
      </c>
      <c r="C89" s="2"/>
      <c r="O89" s="2" t="s">
        <v>1247</v>
      </c>
      <c r="Q89" s="2" t="s">
        <v>1249</v>
      </c>
      <c r="U89" s="2" t="s">
        <v>1289</v>
      </c>
      <c r="AF89" s="2" t="s">
        <v>1260</v>
      </c>
      <c r="AI89" s="2" t="s">
        <v>1263</v>
      </c>
      <c r="AL89" s="2" t="s">
        <v>1264</v>
      </c>
      <c r="AM89" s="2" t="s">
        <v>1265</v>
      </c>
      <c r="AR89" s="2" t="s">
        <v>1270</v>
      </c>
      <c r="BF89" s="2" t="s">
        <v>1285</v>
      </c>
      <c r="BJ89" s="2"/>
    </row>
    <row r="90" spans="1:62" ht="30" customHeight="1" x14ac:dyDescent="0.25">
      <c r="A90" s="1" t="s">
        <v>519</v>
      </c>
      <c r="B90" s="1" t="str">
        <f t="shared" si="1"/>
        <v>Alameda,  Contra Costa,  Santa Clara</v>
      </c>
      <c r="C90" s="2" t="s">
        <v>1236</v>
      </c>
      <c r="I90" s="2" t="s">
        <v>1245</v>
      </c>
      <c r="AS90" s="2" t="s">
        <v>1271</v>
      </c>
      <c r="BJ90" s="2"/>
    </row>
    <row r="91" spans="1:62" ht="30" customHeight="1" x14ac:dyDescent="0.25">
      <c r="A91" s="1" t="s">
        <v>487</v>
      </c>
      <c r="B91"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91" s="2" t="s">
        <v>1236</v>
      </c>
      <c r="D91" s="2" t="s">
        <v>1237</v>
      </c>
      <c r="E91" s="2" t="s">
        <v>1238</v>
      </c>
      <c r="F91" s="2" t="s">
        <v>1239</v>
      </c>
      <c r="G91" s="2" t="s">
        <v>1240</v>
      </c>
      <c r="H91" s="2" t="s">
        <v>1244</v>
      </c>
      <c r="I91" s="2" t="s">
        <v>1245</v>
      </c>
      <c r="J91" s="2" t="s">
        <v>1291</v>
      </c>
      <c r="K91" s="2" t="s">
        <v>1241</v>
      </c>
      <c r="L91" s="2" t="s">
        <v>1242</v>
      </c>
      <c r="M91" s="2" t="s">
        <v>1243</v>
      </c>
      <c r="N91" s="2" t="s">
        <v>1246</v>
      </c>
      <c r="O91" s="2" t="s">
        <v>1247</v>
      </c>
      <c r="P91" s="2" t="s">
        <v>1248</v>
      </c>
      <c r="Q91" s="2" t="s">
        <v>1249</v>
      </c>
      <c r="R91" s="2" t="s">
        <v>1250</v>
      </c>
      <c r="S91" s="2" t="s">
        <v>1251</v>
      </c>
      <c r="T91" s="2" t="s">
        <v>1288</v>
      </c>
      <c r="U91" s="2" t="s">
        <v>1289</v>
      </c>
      <c r="V91" s="2" t="s">
        <v>1252</v>
      </c>
      <c r="W91" s="2" t="s">
        <v>988</v>
      </c>
      <c r="X91" s="2" t="s">
        <v>1253</v>
      </c>
      <c r="Y91" s="2" t="s">
        <v>1254</v>
      </c>
      <c r="Z91" s="2" t="s">
        <v>1255</v>
      </c>
      <c r="AA91" s="2" t="s">
        <v>1292</v>
      </c>
      <c r="AB91" s="2" t="s">
        <v>1256</v>
      </c>
      <c r="AC91" s="2" t="s">
        <v>1257</v>
      </c>
      <c r="AD91" s="2" t="s">
        <v>1258</v>
      </c>
      <c r="AE91" s="2" t="s">
        <v>1259</v>
      </c>
      <c r="AF91" s="2" t="s">
        <v>1260</v>
      </c>
      <c r="AG91" s="2" t="s">
        <v>1261</v>
      </c>
      <c r="AH91" s="2" t="s">
        <v>1262</v>
      </c>
      <c r="AI91" s="2" t="s">
        <v>1263</v>
      </c>
      <c r="AJ91" s="2" t="s">
        <v>1273</v>
      </c>
      <c r="AK91" s="2" t="s">
        <v>1290</v>
      </c>
      <c r="AL91" s="2" t="s">
        <v>1264</v>
      </c>
      <c r="AM91" s="2" t="s">
        <v>1265</v>
      </c>
      <c r="AN91" s="2" t="s">
        <v>1266</v>
      </c>
      <c r="AO91" s="2" t="s">
        <v>1267</v>
      </c>
      <c r="AP91" s="2" t="s">
        <v>1269</v>
      </c>
      <c r="AQ91" s="2" t="s">
        <v>1268</v>
      </c>
      <c r="AR91" s="2" t="s">
        <v>1270</v>
      </c>
      <c r="AS91" s="2" t="s">
        <v>1271</v>
      </c>
      <c r="AT91" s="2" t="s">
        <v>1272</v>
      </c>
      <c r="AU91" s="2" t="s">
        <v>1274</v>
      </c>
      <c r="AV91" s="2" t="s">
        <v>1275</v>
      </c>
      <c r="AW91" s="2" t="s">
        <v>1276</v>
      </c>
      <c r="AX91" s="2" t="s">
        <v>1277</v>
      </c>
      <c r="AY91" s="2" t="s">
        <v>1278</v>
      </c>
      <c r="AZ91" s="2" t="s">
        <v>1279</v>
      </c>
      <c r="BA91" s="2" t="s">
        <v>1280</v>
      </c>
      <c r="BB91" s="2" t="s">
        <v>1281</v>
      </c>
      <c r="BC91" s="2" t="s">
        <v>1282</v>
      </c>
      <c r="BD91" s="2" t="s">
        <v>1283</v>
      </c>
      <c r="BE91" s="2" t="s">
        <v>1284</v>
      </c>
      <c r="BF91" s="2" t="s">
        <v>1285</v>
      </c>
      <c r="BG91" s="2" t="s">
        <v>1286</v>
      </c>
      <c r="BH91" s="2" t="s">
        <v>1287</v>
      </c>
      <c r="BJ91" s="2"/>
    </row>
    <row r="92" spans="1:62" ht="30" customHeight="1" x14ac:dyDescent="0.25">
      <c r="A92" s="1" t="s">
        <v>307</v>
      </c>
      <c r="B92" s="1" t="str">
        <f t="shared" si="1"/>
        <v>Alameda,  Fresno,  Marin,  Merced,  Monterey,  Napa,  San Francisco,  San Mateo,  Santa Clara,  Santa Cruz</v>
      </c>
      <c r="C92" s="2" t="s">
        <v>1236</v>
      </c>
      <c r="L92" s="2" t="s">
        <v>1242</v>
      </c>
      <c r="W92" s="2" t="s">
        <v>988</v>
      </c>
      <c r="Z92" s="2" t="s">
        <v>1255</v>
      </c>
      <c r="AC92" s="2" t="s">
        <v>1257</v>
      </c>
      <c r="AD92" s="2" t="s">
        <v>1258</v>
      </c>
      <c r="AN92" s="2" t="s">
        <v>1266</v>
      </c>
      <c r="AQ92" s="2" t="s">
        <v>1268</v>
      </c>
      <c r="AS92" s="2" t="s">
        <v>1271</v>
      </c>
      <c r="AT92" s="2" t="s">
        <v>1272</v>
      </c>
      <c r="BJ92" s="2"/>
    </row>
    <row r="93" spans="1:62" ht="30" customHeight="1" x14ac:dyDescent="0.25">
      <c r="A93" s="1" t="s">
        <v>296</v>
      </c>
      <c r="B93" s="1" t="str">
        <f t="shared" si="1"/>
        <v>Fresno,  Inyo,  Kern,  Kings,  Los Angeles,  Madera,  Mariposa,  Merced,  Mono,  Monterey,  Napa,  Orange,  Riverside,  Sacramento,  San Bernardino,  San Diego,  San Francisco,  San Joaquin,  San Luis Obispo,  Santa Barbara,  Santa Clara,  Santa Cruz,  Stanislaus,  Tulare,  Tuolumne,  Ventura</v>
      </c>
      <c r="C93" s="2"/>
      <c r="L93" s="2" t="s">
        <v>1242</v>
      </c>
      <c r="P93" s="2" t="s">
        <v>1248</v>
      </c>
      <c r="Q93" s="2" t="s">
        <v>1249</v>
      </c>
      <c r="R93" s="2" t="s">
        <v>1250</v>
      </c>
      <c r="U93" s="2" t="s">
        <v>1289</v>
      </c>
      <c r="V93" s="2" t="s">
        <v>1252</v>
      </c>
      <c r="X93" s="2" t="s">
        <v>1253</v>
      </c>
      <c r="Z93" s="2" t="s">
        <v>1255</v>
      </c>
      <c r="AB93" s="2" t="s">
        <v>1256</v>
      </c>
      <c r="AC93" s="2" t="s">
        <v>1257</v>
      </c>
      <c r="AD93" s="2" t="s">
        <v>1258</v>
      </c>
      <c r="AF93" s="2" t="s">
        <v>1260</v>
      </c>
      <c r="AI93" s="2" t="s">
        <v>1263</v>
      </c>
      <c r="AJ93" s="2" t="s">
        <v>1273</v>
      </c>
      <c r="AL93" s="2" t="s">
        <v>1264</v>
      </c>
      <c r="AM93" s="2" t="s">
        <v>1265</v>
      </c>
      <c r="AN93" s="2" t="s">
        <v>1266</v>
      </c>
      <c r="AO93" s="2" t="s">
        <v>1267</v>
      </c>
      <c r="AP93" s="2" t="s">
        <v>1269</v>
      </c>
      <c r="AR93" s="2" t="s">
        <v>1270</v>
      </c>
      <c r="AS93" s="2" t="s">
        <v>1271</v>
      </c>
      <c r="AT93" s="2" t="s">
        <v>1272</v>
      </c>
      <c r="AZ93" s="2" t="s">
        <v>1279</v>
      </c>
      <c r="BD93" s="2" t="s">
        <v>1283</v>
      </c>
      <c r="BE93" s="2" t="s">
        <v>1284</v>
      </c>
      <c r="BF93" s="2" t="s">
        <v>1285</v>
      </c>
      <c r="BJ93" s="2"/>
    </row>
    <row r="94" spans="1:62" ht="30" customHeight="1" x14ac:dyDescent="0.25">
      <c r="A94" s="1" t="s">
        <v>945</v>
      </c>
      <c r="B94" s="1" t="str">
        <f t="shared" si="1"/>
        <v>Monterey,  San Benito,  Santa Clara,  Santa Cruz</v>
      </c>
      <c r="C94" s="2"/>
      <c r="AC94" s="2" t="s">
        <v>1257</v>
      </c>
      <c r="AK94" s="2" t="s">
        <v>1290</v>
      </c>
      <c r="AS94" s="2" t="s">
        <v>1271</v>
      </c>
      <c r="AT94" s="2" t="s">
        <v>1272</v>
      </c>
      <c r="BJ94" s="2"/>
    </row>
    <row r="95" spans="1:62" ht="30" customHeight="1" x14ac:dyDescent="0.25">
      <c r="A95" s="1" t="s">
        <v>261</v>
      </c>
      <c r="B95" s="1" t="str">
        <f t="shared" si="1"/>
        <v>Alameda,  Contra Costa,  Napa,  Solano</v>
      </c>
      <c r="C95" s="2" t="s">
        <v>1236</v>
      </c>
      <c r="I95" s="2" t="s">
        <v>1245</v>
      </c>
      <c r="AD95" s="2" t="s">
        <v>1258</v>
      </c>
      <c r="AX95" s="2" t="s">
        <v>1277</v>
      </c>
      <c r="BJ95" s="2"/>
    </row>
    <row r="96" spans="1:62" ht="30" customHeight="1" x14ac:dyDescent="0.25">
      <c r="A96" s="1" t="s">
        <v>892</v>
      </c>
      <c r="B96" s="1" t="str">
        <f t="shared" si="1"/>
        <v>Alameda,  Butte,  Contra Costa,  El Dorado,  Fresno,  Glenn,  Humboldt,  Imperial,  Inyo,  Kern,  Kings,  Lake,  Los Angeles,  Madera,  Marin,  Mariposa,  Mendocino,  Merced,  Mono,  Monterey,  Napa,  Nevada,  Orange,  Placer,  Plumas,  Riverside,  Sacramento,  San Benito,  San Bernardino,  San Diego,  San Francisco,  San Joaquin,  San Luis Obispo,  San Mateo,  Santa Barbara,  Santa Clara,  Santa Cruz,  Shasta,  Sierra,  Solano,  Sonoma,  Stanislaus,  Sutter,  Tehama,  Trinity,  Tulare,  Tuolumne,  Ventura,  Yolo,  Yuba</v>
      </c>
      <c r="C96" s="2" t="s">
        <v>1236</v>
      </c>
      <c r="F96" s="2" t="s">
        <v>1239</v>
      </c>
      <c r="I96" s="2" t="s">
        <v>1245</v>
      </c>
      <c r="K96" s="2" t="s">
        <v>1241</v>
      </c>
      <c r="L96" s="2" t="s">
        <v>1242</v>
      </c>
      <c r="M96" s="2" t="s">
        <v>1243</v>
      </c>
      <c r="N96" s="2" t="s">
        <v>1246</v>
      </c>
      <c r="O96" s="2" t="s">
        <v>1247</v>
      </c>
      <c r="P96" s="2" t="s">
        <v>1248</v>
      </c>
      <c r="Q96" s="2" t="s">
        <v>1249</v>
      </c>
      <c r="R96" s="2" t="s">
        <v>1250</v>
      </c>
      <c r="S96" s="2" t="s">
        <v>1251</v>
      </c>
      <c r="U96" s="2" t="s">
        <v>1289</v>
      </c>
      <c r="V96" s="2" t="s">
        <v>1252</v>
      </c>
      <c r="W96" s="2" t="s">
        <v>988</v>
      </c>
      <c r="X96" s="2" t="s">
        <v>1253</v>
      </c>
      <c r="Y96" s="2" t="s">
        <v>1254</v>
      </c>
      <c r="Z96" s="2" t="s">
        <v>1255</v>
      </c>
      <c r="AB96" s="2" t="s">
        <v>1256</v>
      </c>
      <c r="AC96" s="2" t="s">
        <v>1257</v>
      </c>
      <c r="AD96" s="2" t="s">
        <v>1258</v>
      </c>
      <c r="AE96" s="2" t="s">
        <v>1259</v>
      </c>
      <c r="AF96" s="2" t="s">
        <v>1260</v>
      </c>
      <c r="AG96" s="2" t="s">
        <v>1261</v>
      </c>
      <c r="AH96" s="2" t="s">
        <v>1262</v>
      </c>
      <c r="AI96" s="2" t="s">
        <v>1263</v>
      </c>
      <c r="AJ96" s="2" t="s">
        <v>1273</v>
      </c>
      <c r="AK96" s="2" t="s">
        <v>1290</v>
      </c>
      <c r="AL96" s="2" t="s">
        <v>1264</v>
      </c>
      <c r="AM96" s="2" t="s">
        <v>1265</v>
      </c>
      <c r="AN96" s="2" t="s">
        <v>1266</v>
      </c>
      <c r="AO96" s="2" t="s">
        <v>1267</v>
      </c>
      <c r="AP96" s="2" t="s">
        <v>1269</v>
      </c>
      <c r="AQ96" s="2" t="s">
        <v>1268</v>
      </c>
      <c r="AR96" s="2" t="s">
        <v>1270</v>
      </c>
      <c r="AS96" s="2" t="s">
        <v>1271</v>
      </c>
      <c r="AT96" s="2" t="s">
        <v>1272</v>
      </c>
      <c r="AU96" s="2" t="s">
        <v>1274</v>
      </c>
      <c r="AV96" s="2" t="s">
        <v>1275</v>
      </c>
      <c r="AX96" s="2" t="s">
        <v>1277</v>
      </c>
      <c r="AY96" s="2" t="s">
        <v>1278</v>
      </c>
      <c r="AZ96" s="2" t="s">
        <v>1279</v>
      </c>
      <c r="BA96" s="2" t="s">
        <v>1280</v>
      </c>
      <c r="BB96" s="2" t="s">
        <v>1281</v>
      </c>
      <c r="BC96" s="2" t="s">
        <v>1282</v>
      </c>
      <c r="BD96" s="2" t="s">
        <v>1283</v>
      </c>
      <c r="BE96" s="2" t="s">
        <v>1284</v>
      </c>
      <c r="BF96" s="2" t="s">
        <v>1285</v>
      </c>
      <c r="BG96" s="2" t="s">
        <v>1286</v>
      </c>
      <c r="BH96" s="2" t="s">
        <v>1287</v>
      </c>
      <c r="BJ96" s="2"/>
    </row>
    <row r="97" spans="1:62" ht="30" customHeight="1" x14ac:dyDescent="0.25">
      <c r="A97" s="1" t="s">
        <v>494</v>
      </c>
      <c r="B97" s="1" t="str">
        <f t="shared" si="1"/>
        <v>Alameda,  Contra Costa,  Madera,  Marin,  Mariposa,  Napa,  San Francisco,  San Mateo,  Santa Clara,  Santa Cruz</v>
      </c>
      <c r="C97" s="2" t="s">
        <v>1236</v>
      </c>
      <c r="I97" s="2" t="s">
        <v>1245</v>
      </c>
      <c r="V97" s="2" t="s">
        <v>1252</v>
      </c>
      <c r="W97" s="2" t="s">
        <v>988</v>
      </c>
      <c r="X97" s="2" t="s">
        <v>1253</v>
      </c>
      <c r="AD97" s="2" t="s">
        <v>1258</v>
      </c>
      <c r="AN97" s="2" t="s">
        <v>1266</v>
      </c>
      <c r="AQ97" s="2" t="s">
        <v>1268</v>
      </c>
      <c r="AS97" s="2" t="s">
        <v>1271</v>
      </c>
      <c r="AT97" s="2" t="s">
        <v>1272</v>
      </c>
      <c r="BJ97" s="2"/>
    </row>
    <row r="98" spans="1:62" ht="30" customHeight="1" x14ac:dyDescent="0.25">
      <c r="A98" s="1" t="s">
        <v>99</v>
      </c>
      <c r="B98"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98" s="2" t="s">
        <v>1236</v>
      </c>
      <c r="D98" s="2" t="s">
        <v>1237</v>
      </c>
      <c r="E98" s="2" t="s">
        <v>1238</v>
      </c>
      <c r="F98" s="2" t="s">
        <v>1239</v>
      </c>
      <c r="G98" s="2" t="s">
        <v>1240</v>
      </c>
      <c r="H98" s="2" t="s">
        <v>1244</v>
      </c>
      <c r="I98" s="2" t="s">
        <v>1245</v>
      </c>
      <c r="J98" s="2" t="s">
        <v>1291</v>
      </c>
      <c r="K98" s="2" t="s">
        <v>1241</v>
      </c>
      <c r="L98" s="2" t="s">
        <v>1242</v>
      </c>
      <c r="M98" s="2" t="s">
        <v>1243</v>
      </c>
      <c r="N98" s="2" t="s">
        <v>1246</v>
      </c>
      <c r="O98" s="2" t="s">
        <v>1247</v>
      </c>
      <c r="P98" s="2" t="s">
        <v>1248</v>
      </c>
      <c r="Q98" s="2" t="s">
        <v>1249</v>
      </c>
      <c r="R98" s="2" t="s">
        <v>1250</v>
      </c>
      <c r="S98" s="2" t="s">
        <v>1251</v>
      </c>
      <c r="T98" s="2" t="s">
        <v>1288</v>
      </c>
      <c r="U98" s="2" t="s">
        <v>1289</v>
      </c>
      <c r="V98" s="2" t="s">
        <v>1252</v>
      </c>
      <c r="W98" s="2" t="s">
        <v>988</v>
      </c>
      <c r="X98" s="2" t="s">
        <v>1253</v>
      </c>
      <c r="Y98" s="2" t="s">
        <v>1254</v>
      </c>
      <c r="Z98" s="2" t="s">
        <v>1255</v>
      </c>
      <c r="AA98" s="2" t="s">
        <v>1292</v>
      </c>
      <c r="AB98" s="2" t="s">
        <v>1256</v>
      </c>
      <c r="AC98" s="2" t="s">
        <v>1257</v>
      </c>
      <c r="AD98" s="2" t="s">
        <v>1258</v>
      </c>
      <c r="AE98" s="2" t="s">
        <v>1259</v>
      </c>
      <c r="AF98" s="2" t="s">
        <v>1260</v>
      </c>
      <c r="AG98" s="2" t="s">
        <v>1261</v>
      </c>
      <c r="AH98" s="2" t="s">
        <v>1262</v>
      </c>
      <c r="AI98" s="2" t="s">
        <v>1263</v>
      </c>
      <c r="AJ98" s="2" t="s">
        <v>1273</v>
      </c>
      <c r="AK98" s="2" t="s">
        <v>1290</v>
      </c>
      <c r="AL98" s="2" t="s">
        <v>1264</v>
      </c>
      <c r="AM98" s="2" t="s">
        <v>1265</v>
      </c>
      <c r="AN98" s="2" t="s">
        <v>1266</v>
      </c>
      <c r="AO98" s="2" t="s">
        <v>1267</v>
      </c>
      <c r="AP98" s="2" t="s">
        <v>1269</v>
      </c>
      <c r="AQ98" s="2" t="s">
        <v>1268</v>
      </c>
      <c r="AR98" s="2" t="s">
        <v>1270</v>
      </c>
      <c r="AS98" s="2" t="s">
        <v>1271</v>
      </c>
      <c r="AT98" s="2" t="s">
        <v>1272</v>
      </c>
      <c r="AU98" s="2" t="s">
        <v>1274</v>
      </c>
      <c r="AV98" s="2" t="s">
        <v>1275</v>
      </c>
      <c r="AW98" s="2" t="s">
        <v>1276</v>
      </c>
      <c r="AX98" s="2" t="s">
        <v>1277</v>
      </c>
      <c r="AY98" s="2" t="s">
        <v>1278</v>
      </c>
      <c r="AZ98" s="2" t="s">
        <v>1279</v>
      </c>
      <c r="BA98" s="2" t="s">
        <v>1280</v>
      </c>
      <c r="BB98" s="2" t="s">
        <v>1281</v>
      </c>
      <c r="BC98" s="2" t="s">
        <v>1282</v>
      </c>
      <c r="BD98" s="2" t="s">
        <v>1283</v>
      </c>
      <c r="BE98" s="2" t="s">
        <v>1284</v>
      </c>
      <c r="BF98" s="2" t="s">
        <v>1285</v>
      </c>
      <c r="BG98" s="2" t="s">
        <v>1286</v>
      </c>
      <c r="BH98" s="2" t="s">
        <v>1287</v>
      </c>
      <c r="BJ98" s="2"/>
    </row>
    <row r="99" spans="1:62" ht="30" customHeight="1" x14ac:dyDescent="0.25">
      <c r="A99" s="1" t="s">
        <v>852</v>
      </c>
      <c r="B99"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99" s="2" t="s">
        <v>1236</v>
      </c>
      <c r="D99" s="2" t="s">
        <v>1237</v>
      </c>
      <c r="E99" s="2" t="s">
        <v>1238</v>
      </c>
      <c r="F99" s="2" t="s">
        <v>1239</v>
      </c>
      <c r="G99" s="2" t="s">
        <v>1240</v>
      </c>
      <c r="H99" s="2" t="s">
        <v>1244</v>
      </c>
      <c r="I99" s="2" t="s">
        <v>1245</v>
      </c>
      <c r="J99" s="2" t="s">
        <v>1291</v>
      </c>
      <c r="K99" s="2" t="s">
        <v>1241</v>
      </c>
      <c r="L99" s="2" t="s">
        <v>1242</v>
      </c>
      <c r="M99" s="2" t="s">
        <v>1243</v>
      </c>
      <c r="N99" s="2" t="s">
        <v>1246</v>
      </c>
      <c r="O99" s="2" t="s">
        <v>1247</v>
      </c>
      <c r="P99" s="2" t="s">
        <v>1248</v>
      </c>
      <c r="Q99" s="2" t="s">
        <v>1249</v>
      </c>
      <c r="R99" s="2" t="s">
        <v>1250</v>
      </c>
      <c r="S99" s="2" t="s">
        <v>1251</v>
      </c>
      <c r="T99" s="2" t="s">
        <v>1288</v>
      </c>
      <c r="U99" s="2" t="s">
        <v>1289</v>
      </c>
      <c r="V99" s="2" t="s">
        <v>1252</v>
      </c>
      <c r="W99" s="2" t="s">
        <v>988</v>
      </c>
      <c r="X99" s="2" t="s">
        <v>1253</v>
      </c>
      <c r="Y99" s="2" t="s">
        <v>1254</v>
      </c>
      <c r="Z99" s="2" t="s">
        <v>1255</v>
      </c>
      <c r="AA99" s="2" t="s">
        <v>1292</v>
      </c>
      <c r="AB99" s="2" t="s">
        <v>1256</v>
      </c>
      <c r="AC99" s="2" t="s">
        <v>1257</v>
      </c>
      <c r="AD99" s="2" t="s">
        <v>1258</v>
      </c>
      <c r="AE99" s="2" t="s">
        <v>1259</v>
      </c>
      <c r="AF99" s="2" t="s">
        <v>1260</v>
      </c>
      <c r="AG99" s="2" t="s">
        <v>1261</v>
      </c>
      <c r="AH99" s="2" t="s">
        <v>1262</v>
      </c>
      <c r="AI99" s="2" t="s">
        <v>1263</v>
      </c>
      <c r="AJ99" s="2" t="s">
        <v>1273</v>
      </c>
      <c r="AK99" s="2" t="s">
        <v>1290</v>
      </c>
      <c r="AL99" s="2" t="s">
        <v>1264</v>
      </c>
      <c r="AM99" s="2" t="s">
        <v>1265</v>
      </c>
      <c r="AN99" s="2" t="s">
        <v>1266</v>
      </c>
      <c r="AO99" s="2" t="s">
        <v>1267</v>
      </c>
      <c r="AP99" s="2" t="s">
        <v>1269</v>
      </c>
      <c r="AQ99" s="2" t="s">
        <v>1268</v>
      </c>
      <c r="AR99" s="2" t="s">
        <v>1270</v>
      </c>
      <c r="AS99" s="2" t="s">
        <v>1271</v>
      </c>
      <c r="AT99" s="2" t="s">
        <v>1272</v>
      </c>
      <c r="AU99" s="2" t="s">
        <v>1274</v>
      </c>
      <c r="AV99" s="2" t="s">
        <v>1275</v>
      </c>
      <c r="AW99" s="2" t="s">
        <v>1276</v>
      </c>
      <c r="AX99" s="2" t="s">
        <v>1277</v>
      </c>
      <c r="AY99" s="2" t="s">
        <v>1278</v>
      </c>
      <c r="AZ99" s="2" t="s">
        <v>1279</v>
      </c>
      <c r="BA99" s="2" t="s">
        <v>1280</v>
      </c>
      <c r="BB99" s="2" t="s">
        <v>1281</v>
      </c>
      <c r="BC99" s="2" t="s">
        <v>1282</v>
      </c>
      <c r="BD99" s="2" t="s">
        <v>1283</v>
      </c>
      <c r="BE99" s="2" t="s">
        <v>1284</v>
      </c>
      <c r="BF99" s="2" t="s">
        <v>1285</v>
      </c>
      <c r="BG99" s="2" t="s">
        <v>1286</v>
      </c>
      <c r="BH99" s="2" t="s">
        <v>1287</v>
      </c>
      <c r="BJ99" s="2"/>
    </row>
    <row r="100" spans="1:62" ht="30" customHeight="1" x14ac:dyDescent="0.25">
      <c r="A100" s="1" t="s">
        <v>167</v>
      </c>
      <c r="B100" s="1" t="str">
        <f t="shared" si="1"/>
        <v>Butte,  Colusa,  Glenn,  Lassen,  Sacramento,  Shasta,  Siskiyou,  Sutter,  Tehama,  Trinity,  Yuba</v>
      </c>
      <c r="C100" s="2"/>
      <c r="F100" s="2" t="s">
        <v>1239</v>
      </c>
      <c r="H100" s="2" t="s">
        <v>1244</v>
      </c>
      <c r="M100" s="2" t="s">
        <v>1243</v>
      </c>
      <c r="T100" s="2" t="s">
        <v>1288</v>
      </c>
      <c r="AJ100" s="2" t="s">
        <v>1273</v>
      </c>
      <c r="AU100" s="2" t="s">
        <v>1274</v>
      </c>
      <c r="AW100" s="2" t="s">
        <v>1276</v>
      </c>
      <c r="BA100" s="2" t="s">
        <v>1280</v>
      </c>
      <c r="BB100" s="2" t="s">
        <v>1281</v>
      </c>
      <c r="BC100" s="2" t="s">
        <v>1282</v>
      </c>
      <c r="BH100" s="2" t="s">
        <v>1287</v>
      </c>
      <c r="BJ100" s="2"/>
    </row>
    <row r="101" spans="1:62" ht="30" customHeight="1" x14ac:dyDescent="0.25">
      <c r="A101" s="1" t="s">
        <v>859</v>
      </c>
      <c r="B101" s="1" t="str">
        <f t="shared" si="1"/>
        <v>Los Angeles,  Orange,  Riverside,  San Bernardino</v>
      </c>
      <c r="C101" s="2"/>
      <c r="U101" s="2" t="s">
        <v>1289</v>
      </c>
      <c r="AF101" s="2" t="s">
        <v>1260</v>
      </c>
      <c r="AI101" s="2" t="s">
        <v>1263</v>
      </c>
      <c r="AL101" s="2" t="s">
        <v>1264</v>
      </c>
      <c r="BJ101" s="2"/>
    </row>
    <row r="102" spans="1:62" ht="30" customHeight="1" x14ac:dyDescent="0.25">
      <c r="A102" s="1" t="s">
        <v>873</v>
      </c>
      <c r="B102" s="1" t="str">
        <f t="shared" si="1"/>
        <v>Los Angeles,  Orange,  Riverside,  San Diego</v>
      </c>
      <c r="C102" s="2"/>
      <c r="U102" s="2" t="s">
        <v>1289</v>
      </c>
      <c r="AF102" s="2" t="s">
        <v>1260</v>
      </c>
      <c r="AI102" s="2" t="s">
        <v>1263</v>
      </c>
      <c r="AM102" s="2" t="s">
        <v>1265</v>
      </c>
      <c r="BJ102" s="2"/>
    </row>
    <row r="103" spans="1:62" ht="30" customHeight="1" x14ac:dyDescent="0.25">
      <c r="A103" s="1" t="s">
        <v>946</v>
      </c>
      <c r="B103" s="1" t="str">
        <f t="shared" si="1"/>
        <v>Humboldt,  Trinity</v>
      </c>
      <c r="C103" s="2"/>
      <c r="N103" s="2" t="s">
        <v>1246</v>
      </c>
      <c r="BC103" s="2" t="s">
        <v>1282</v>
      </c>
      <c r="BJ103" s="2"/>
    </row>
    <row r="104" spans="1:62" ht="30" customHeight="1" x14ac:dyDescent="0.25">
      <c r="A104" s="1" t="s">
        <v>485</v>
      </c>
      <c r="B104" s="1" t="str">
        <f t="shared" si="1"/>
        <v>Los Angeles,  Orange,  Riverside,  San Bernardino,  San Diego</v>
      </c>
      <c r="C104" s="2"/>
      <c r="U104" s="2" t="s">
        <v>1289</v>
      </c>
      <c r="AF104" s="2" t="s">
        <v>1260</v>
      </c>
      <c r="AI104" s="2" t="s">
        <v>1263</v>
      </c>
      <c r="AL104" s="2" t="s">
        <v>1264</v>
      </c>
      <c r="AM104" s="2" t="s">
        <v>1265</v>
      </c>
      <c r="BJ104" s="2"/>
    </row>
    <row r="105" spans="1:62" ht="30" customHeight="1" x14ac:dyDescent="0.25">
      <c r="A105" s="1" t="s">
        <v>115</v>
      </c>
      <c r="B105" s="1" t="str">
        <f t="shared" si="1"/>
        <v>Alameda,  San Mateo,  Santa Clara,  Santa Cruz</v>
      </c>
      <c r="C105" s="2" t="s">
        <v>1236</v>
      </c>
      <c r="AQ105" s="2" t="s">
        <v>1268</v>
      </c>
      <c r="AS105" s="2" t="s">
        <v>1271</v>
      </c>
      <c r="AT105" s="2" t="s">
        <v>1272</v>
      </c>
      <c r="BJ105" s="2"/>
    </row>
    <row r="106" spans="1:62" ht="30" customHeight="1" x14ac:dyDescent="0.25">
      <c r="A106" s="1" t="s">
        <v>920</v>
      </c>
      <c r="B106" s="1" t="str">
        <f t="shared" si="1"/>
        <v>Los Angeles,  Orange,  Riverside,  San Diego</v>
      </c>
      <c r="C106" s="2"/>
      <c r="U106" s="2" t="s">
        <v>1289</v>
      </c>
      <c r="AF106" s="2" t="s">
        <v>1260</v>
      </c>
      <c r="AI106" s="2" t="s">
        <v>1263</v>
      </c>
      <c r="AM106" s="2" t="s">
        <v>1265</v>
      </c>
      <c r="BJ106" s="2"/>
    </row>
    <row r="107" spans="1:62" ht="30" customHeight="1" x14ac:dyDescent="0.25">
      <c r="A107" s="1" t="s">
        <v>916</v>
      </c>
      <c r="B107" s="1" t="str">
        <f t="shared" si="1"/>
        <v>Alameda,  Contra Costa,  San Mateo,  Santa Clara,  Santa Cruz</v>
      </c>
      <c r="C107" s="2" t="s">
        <v>1236</v>
      </c>
      <c r="I107" s="2" t="s">
        <v>1245</v>
      </c>
      <c r="AQ107" s="2" t="s">
        <v>1268</v>
      </c>
      <c r="AS107" s="2" t="s">
        <v>1271</v>
      </c>
      <c r="AT107" s="2" t="s">
        <v>1272</v>
      </c>
      <c r="BJ107" s="2"/>
    </row>
    <row r="108" spans="1:62" ht="30" customHeight="1" x14ac:dyDescent="0.25">
      <c r="A108" s="1" t="s">
        <v>134</v>
      </c>
      <c r="B108" s="1" t="str">
        <f t="shared" si="1"/>
        <v>Alameda,  Butte,  Calaveras,  Contra Costa,  El Dorado,  Fresno,  Glenn,  Imperial,  Kern,  Kings,  Lake,  Los Angeles,  Madera,  Marin,  Mariposa,  Merced,  Monterey,  Napa,  Nevada,  Orange,  Placer,  Riverside,  Sacramento,  San Benito,  San Bernardino,  San Diego,  San Francisco,  San Joaquin,  San Luis Obispo,  San Mateo,  Santa Barbara,  Santa Clara,  Santa Cruz,  Sierra,  Solano,  Sonoma,  Sutter,  Tulare,  Tuolumne,  Ventura,  Yuba</v>
      </c>
      <c r="C108" s="2" t="s">
        <v>1236</v>
      </c>
      <c r="F108" s="2" t="s">
        <v>1239</v>
      </c>
      <c r="G108" s="2" t="s">
        <v>1240</v>
      </c>
      <c r="I108" s="2" t="s">
        <v>1245</v>
      </c>
      <c r="K108" s="2" t="s">
        <v>1241</v>
      </c>
      <c r="L108" s="2" t="s">
        <v>1242</v>
      </c>
      <c r="M108" s="2" t="s">
        <v>1243</v>
      </c>
      <c r="O108" s="2" t="s">
        <v>1247</v>
      </c>
      <c r="Q108" s="2" t="s">
        <v>1249</v>
      </c>
      <c r="R108" s="2" t="s">
        <v>1250</v>
      </c>
      <c r="S108" s="2" t="s">
        <v>1251</v>
      </c>
      <c r="U108" s="2" t="s">
        <v>1289</v>
      </c>
      <c r="V108" s="2" t="s">
        <v>1252</v>
      </c>
      <c r="W108" s="2" t="s">
        <v>988</v>
      </c>
      <c r="X108" s="2" t="s">
        <v>1253</v>
      </c>
      <c r="Z108" s="2" t="s">
        <v>1255</v>
      </c>
      <c r="AC108" s="2" t="s">
        <v>1257</v>
      </c>
      <c r="AD108" s="2" t="s">
        <v>1258</v>
      </c>
      <c r="AE108" s="2" t="s">
        <v>1259</v>
      </c>
      <c r="AF108" s="2" t="s">
        <v>1260</v>
      </c>
      <c r="AG108" s="2" t="s">
        <v>1261</v>
      </c>
      <c r="AI108" s="2" t="s">
        <v>1263</v>
      </c>
      <c r="AJ108" s="2" t="s">
        <v>1273</v>
      </c>
      <c r="AK108" s="2" t="s">
        <v>1290</v>
      </c>
      <c r="AL108" s="2" t="s">
        <v>1264</v>
      </c>
      <c r="AM108" s="2" t="s">
        <v>1265</v>
      </c>
      <c r="AN108" s="2" t="s">
        <v>1266</v>
      </c>
      <c r="AO108" s="2" t="s">
        <v>1267</v>
      </c>
      <c r="AP108" s="2" t="s">
        <v>1269</v>
      </c>
      <c r="AQ108" s="2" t="s">
        <v>1268</v>
      </c>
      <c r="AR108" s="2" t="s">
        <v>1270</v>
      </c>
      <c r="AS108" s="2" t="s">
        <v>1271</v>
      </c>
      <c r="AT108" s="2" t="s">
        <v>1272</v>
      </c>
      <c r="AV108" s="2" t="s">
        <v>1275</v>
      </c>
      <c r="AX108" s="2" t="s">
        <v>1277</v>
      </c>
      <c r="AY108" s="2" t="s">
        <v>1278</v>
      </c>
      <c r="BA108" s="2" t="s">
        <v>1280</v>
      </c>
      <c r="BD108" s="2" t="s">
        <v>1283</v>
      </c>
      <c r="BE108" s="2" t="s">
        <v>1284</v>
      </c>
      <c r="BF108" s="2" t="s">
        <v>1285</v>
      </c>
      <c r="BH108" s="2" t="s">
        <v>1287</v>
      </c>
      <c r="BJ108" s="2"/>
    </row>
    <row r="109" spans="1:62" ht="30" customHeight="1" x14ac:dyDescent="0.25">
      <c r="A109" s="1" t="s">
        <v>875</v>
      </c>
      <c r="B109" s="1" t="str">
        <f t="shared" si="1"/>
        <v>Riverside,  San Bernardino</v>
      </c>
      <c r="C109" s="2"/>
      <c r="AI109" s="2" t="s">
        <v>1263</v>
      </c>
      <c r="AL109" s="2" t="s">
        <v>1264</v>
      </c>
      <c r="BJ109" s="2"/>
    </row>
    <row r="110" spans="1:62" ht="30" customHeight="1" x14ac:dyDescent="0.25">
      <c r="A110" s="1" t="s">
        <v>37</v>
      </c>
      <c r="B110" s="1" t="str">
        <f t="shared" si="1"/>
        <v>Alameda,  Contra Costa,  Marin,  Napa,  Solano,  Sonoma</v>
      </c>
      <c r="C110" s="2" t="s">
        <v>1236</v>
      </c>
      <c r="I110" s="2" t="s">
        <v>1245</v>
      </c>
      <c r="W110" s="2" t="s">
        <v>988</v>
      </c>
      <c r="AD110" s="2" t="s">
        <v>1258</v>
      </c>
      <c r="AX110" s="2" t="s">
        <v>1277</v>
      </c>
      <c r="AY110" s="2" t="s">
        <v>1278</v>
      </c>
      <c r="BJ110" s="2"/>
    </row>
    <row r="111" spans="1:62" ht="30" customHeight="1" x14ac:dyDescent="0.25">
      <c r="A111" s="1" t="s">
        <v>220</v>
      </c>
      <c r="B111" s="1" t="str">
        <f t="shared" si="1"/>
        <v>Alameda,  Contra Costa,  Marin,  Monterey,  Napa,  Placer,  San Joaquin,  San Mateo,  Santa Clara</v>
      </c>
      <c r="C111" s="2" t="s">
        <v>1236</v>
      </c>
      <c r="I111" s="2" t="s">
        <v>1245</v>
      </c>
      <c r="W111" s="2" t="s">
        <v>988</v>
      </c>
      <c r="AC111" s="2" t="s">
        <v>1257</v>
      </c>
      <c r="AD111" s="2" t="s">
        <v>1258</v>
      </c>
      <c r="AG111" s="2" t="s">
        <v>1261</v>
      </c>
      <c r="AO111" s="2" t="s">
        <v>1267</v>
      </c>
      <c r="AQ111" s="2" t="s">
        <v>1268</v>
      </c>
      <c r="AS111" s="2" t="s">
        <v>1271</v>
      </c>
      <c r="BJ111" s="2"/>
    </row>
    <row r="112" spans="1:62" ht="30" customHeight="1" x14ac:dyDescent="0.25">
      <c r="A112" s="1" t="s">
        <v>858</v>
      </c>
      <c r="B112" s="1" t="str">
        <f t="shared" si="1"/>
        <v>Alameda,  Amador,  Calaveras,  El Dorado,  Placer,  San Joaquin,  Stanislaus,  Tuolumne</v>
      </c>
      <c r="C112" s="2" t="s">
        <v>1236</v>
      </c>
      <c r="E112" s="2" t="s">
        <v>1238</v>
      </c>
      <c r="G112" s="2" t="s">
        <v>1240</v>
      </c>
      <c r="K112" s="2" t="s">
        <v>1241</v>
      </c>
      <c r="AG112" s="2" t="s">
        <v>1261</v>
      </c>
      <c r="AO112" s="2" t="s">
        <v>1267</v>
      </c>
      <c r="AZ112" s="2" t="s">
        <v>1279</v>
      </c>
      <c r="BE112" s="2" t="s">
        <v>1284</v>
      </c>
      <c r="BJ112" s="2"/>
    </row>
    <row r="113" spans="1:62" ht="30" customHeight="1" x14ac:dyDescent="0.25">
      <c r="A113" s="1" t="s">
        <v>272</v>
      </c>
      <c r="B113"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13" s="2" t="s">
        <v>1236</v>
      </c>
      <c r="D113" s="2" t="s">
        <v>1237</v>
      </c>
      <c r="E113" s="2" t="s">
        <v>1238</v>
      </c>
      <c r="F113" s="2" t="s">
        <v>1239</v>
      </c>
      <c r="G113" s="2" t="s">
        <v>1240</v>
      </c>
      <c r="H113" s="2" t="s">
        <v>1244</v>
      </c>
      <c r="I113" s="2" t="s">
        <v>1245</v>
      </c>
      <c r="J113" s="2" t="s">
        <v>1291</v>
      </c>
      <c r="K113" s="2" t="s">
        <v>1241</v>
      </c>
      <c r="L113" s="2" t="s">
        <v>1242</v>
      </c>
      <c r="M113" s="2" t="s">
        <v>1243</v>
      </c>
      <c r="N113" s="2" t="s">
        <v>1246</v>
      </c>
      <c r="O113" s="2" t="s">
        <v>1247</v>
      </c>
      <c r="P113" s="2" t="s">
        <v>1248</v>
      </c>
      <c r="Q113" s="2" t="s">
        <v>1249</v>
      </c>
      <c r="R113" s="2" t="s">
        <v>1250</v>
      </c>
      <c r="S113" s="2" t="s">
        <v>1251</v>
      </c>
      <c r="T113" s="2" t="s">
        <v>1288</v>
      </c>
      <c r="U113" s="2" t="s">
        <v>1289</v>
      </c>
      <c r="V113" s="2" t="s">
        <v>1252</v>
      </c>
      <c r="W113" s="2" t="s">
        <v>988</v>
      </c>
      <c r="X113" s="2" t="s">
        <v>1253</v>
      </c>
      <c r="Y113" s="2" t="s">
        <v>1254</v>
      </c>
      <c r="Z113" s="2" t="s">
        <v>1255</v>
      </c>
      <c r="AA113" s="2" t="s">
        <v>1292</v>
      </c>
      <c r="AB113" s="2" t="s">
        <v>1256</v>
      </c>
      <c r="AC113" s="2" t="s">
        <v>1257</v>
      </c>
      <c r="AD113" s="2" t="s">
        <v>1258</v>
      </c>
      <c r="AE113" s="2" t="s">
        <v>1259</v>
      </c>
      <c r="AF113" s="2" t="s">
        <v>1260</v>
      </c>
      <c r="AG113" s="2" t="s">
        <v>1261</v>
      </c>
      <c r="AH113" s="2" t="s">
        <v>1262</v>
      </c>
      <c r="AI113" s="2" t="s">
        <v>1263</v>
      </c>
      <c r="AJ113" s="2" t="s">
        <v>1273</v>
      </c>
      <c r="AK113" s="2" t="s">
        <v>1290</v>
      </c>
      <c r="AL113" s="2" t="s">
        <v>1264</v>
      </c>
      <c r="AM113" s="2" t="s">
        <v>1265</v>
      </c>
      <c r="AN113" s="2" t="s">
        <v>1266</v>
      </c>
      <c r="AO113" s="2" t="s">
        <v>1267</v>
      </c>
      <c r="AP113" s="2" t="s">
        <v>1269</v>
      </c>
      <c r="AQ113" s="2" t="s">
        <v>1268</v>
      </c>
      <c r="AR113" s="2" t="s">
        <v>1270</v>
      </c>
      <c r="AS113" s="2" t="s">
        <v>1271</v>
      </c>
      <c r="AT113" s="2" t="s">
        <v>1272</v>
      </c>
      <c r="AU113" s="2" t="s">
        <v>1274</v>
      </c>
      <c r="AV113" s="2" t="s">
        <v>1275</v>
      </c>
      <c r="AW113" s="2" t="s">
        <v>1276</v>
      </c>
      <c r="AX113" s="2" t="s">
        <v>1277</v>
      </c>
      <c r="AY113" s="2" t="s">
        <v>1278</v>
      </c>
      <c r="AZ113" s="2" t="s">
        <v>1279</v>
      </c>
      <c r="BA113" s="2" t="s">
        <v>1280</v>
      </c>
      <c r="BB113" s="2" t="s">
        <v>1281</v>
      </c>
      <c r="BC113" s="2" t="s">
        <v>1282</v>
      </c>
      <c r="BD113" s="2" t="s">
        <v>1283</v>
      </c>
      <c r="BE113" s="2" t="s">
        <v>1284</v>
      </c>
      <c r="BF113" s="2" t="s">
        <v>1285</v>
      </c>
      <c r="BG113" s="2" t="s">
        <v>1286</v>
      </c>
      <c r="BH113" s="2" t="s">
        <v>1287</v>
      </c>
      <c r="BJ113" s="2"/>
    </row>
    <row r="114" spans="1:62" ht="30" customHeight="1" x14ac:dyDescent="0.25">
      <c r="A114" s="1" t="s">
        <v>52</v>
      </c>
      <c r="B114" s="1" t="str">
        <f t="shared" si="1"/>
        <v>Alpine,  Riverside,  San Diego</v>
      </c>
      <c r="C114" s="2"/>
      <c r="D114" s="2" t="s">
        <v>1237</v>
      </c>
      <c r="AI114" s="2" t="s">
        <v>1263</v>
      </c>
      <c r="AM114" s="2" t="s">
        <v>1265</v>
      </c>
      <c r="BJ114" s="2"/>
    </row>
    <row r="115" spans="1:62" ht="30" customHeight="1" x14ac:dyDescent="0.25">
      <c r="A115" s="1" t="s">
        <v>428</v>
      </c>
      <c r="B115"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15" s="2" t="s">
        <v>1236</v>
      </c>
      <c r="D115" s="2" t="s">
        <v>1237</v>
      </c>
      <c r="E115" s="2" t="s">
        <v>1238</v>
      </c>
      <c r="F115" s="2" t="s">
        <v>1239</v>
      </c>
      <c r="G115" s="2" t="s">
        <v>1240</v>
      </c>
      <c r="H115" s="2" t="s">
        <v>1244</v>
      </c>
      <c r="I115" s="2" t="s">
        <v>1245</v>
      </c>
      <c r="J115" s="2" t="s">
        <v>1291</v>
      </c>
      <c r="K115" s="2" t="s">
        <v>1241</v>
      </c>
      <c r="L115" s="2" t="s">
        <v>1242</v>
      </c>
      <c r="M115" s="2" t="s">
        <v>1243</v>
      </c>
      <c r="N115" s="2" t="s">
        <v>1246</v>
      </c>
      <c r="O115" s="2" t="s">
        <v>1247</v>
      </c>
      <c r="P115" s="2" t="s">
        <v>1248</v>
      </c>
      <c r="Q115" s="2" t="s">
        <v>1249</v>
      </c>
      <c r="R115" s="2" t="s">
        <v>1250</v>
      </c>
      <c r="S115" s="2" t="s">
        <v>1251</v>
      </c>
      <c r="T115" s="2" t="s">
        <v>1288</v>
      </c>
      <c r="U115" s="2" t="s">
        <v>1289</v>
      </c>
      <c r="V115" s="2" t="s">
        <v>1252</v>
      </c>
      <c r="W115" s="2" t="s">
        <v>988</v>
      </c>
      <c r="X115" s="2" t="s">
        <v>1253</v>
      </c>
      <c r="Y115" s="2" t="s">
        <v>1254</v>
      </c>
      <c r="Z115" s="2" t="s">
        <v>1255</v>
      </c>
      <c r="AA115" s="2" t="s">
        <v>1292</v>
      </c>
      <c r="AB115" s="2" t="s">
        <v>1256</v>
      </c>
      <c r="AC115" s="2" t="s">
        <v>1257</v>
      </c>
      <c r="AD115" s="2" t="s">
        <v>1258</v>
      </c>
      <c r="AE115" s="2" t="s">
        <v>1259</v>
      </c>
      <c r="AF115" s="2" t="s">
        <v>1260</v>
      </c>
      <c r="AG115" s="2" t="s">
        <v>1261</v>
      </c>
      <c r="AH115" s="2" t="s">
        <v>1262</v>
      </c>
      <c r="AI115" s="2" t="s">
        <v>1263</v>
      </c>
      <c r="AJ115" s="2" t="s">
        <v>1273</v>
      </c>
      <c r="AK115" s="2" t="s">
        <v>1290</v>
      </c>
      <c r="AL115" s="2" t="s">
        <v>1264</v>
      </c>
      <c r="AM115" s="2" t="s">
        <v>1265</v>
      </c>
      <c r="AN115" s="2" t="s">
        <v>1266</v>
      </c>
      <c r="AO115" s="2" t="s">
        <v>1267</v>
      </c>
      <c r="AP115" s="2" t="s">
        <v>1269</v>
      </c>
      <c r="AQ115" s="2" t="s">
        <v>1268</v>
      </c>
      <c r="AR115" s="2" t="s">
        <v>1270</v>
      </c>
      <c r="AS115" s="2" t="s">
        <v>1271</v>
      </c>
      <c r="AT115" s="2" t="s">
        <v>1272</v>
      </c>
      <c r="AU115" s="2" t="s">
        <v>1274</v>
      </c>
      <c r="AV115" s="2" t="s">
        <v>1275</v>
      </c>
      <c r="AW115" s="2" t="s">
        <v>1276</v>
      </c>
      <c r="AX115" s="2" t="s">
        <v>1277</v>
      </c>
      <c r="AY115" s="2" t="s">
        <v>1278</v>
      </c>
      <c r="AZ115" s="2" t="s">
        <v>1279</v>
      </c>
      <c r="BA115" s="2" t="s">
        <v>1280</v>
      </c>
      <c r="BB115" s="2" t="s">
        <v>1281</v>
      </c>
      <c r="BC115" s="2" t="s">
        <v>1282</v>
      </c>
      <c r="BD115" s="2" t="s">
        <v>1283</v>
      </c>
      <c r="BE115" s="2" t="s">
        <v>1284</v>
      </c>
      <c r="BF115" s="2" t="s">
        <v>1285</v>
      </c>
      <c r="BG115" s="2" t="s">
        <v>1286</v>
      </c>
      <c r="BH115" s="2" t="s">
        <v>1287</v>
      </c>
      <c r="BJ115" s="2"/>
    </row>
    <row r="116" spans="1:62" ht="30" customHeight="1" x14ac:dyDescent="0.25">
      <c r="A116" s="1" t="s">
        <v>179</v>
      </c>
      <c r="B116" s="1" t="str">
        <f t="shared" si="1"/>
        <v>Alameda,  Contra Costa,  Monterey,  San Mateo,  Santa Clara,  Santa Cruz</v>
      </c>
      <c r="C116" s="2" t="s">
        <v>1236</v>
      </c>
      <c r="I116" s="2" t="s">
        <v>1245</v>
      </c>
      <c r="AC116" s="2" t="s">
        <v>1257</v>
      </c>
      <c r="AQ116" s="2" t="s">
        <v>1268</v>
      </c>
      <c r="AS116" s="2" t="s">
        <v>1271</v>
      </c>
      <c r="AT116" s="2" t="s">
        <v>1272</v>
      </c>
      <c r="BJ116" s="2"/>
    </row>
    <row r="117" spans="1:62" ht="30" customHeight="1" x14ac:dyDescent="0.25">
      <c r="A117" s="1" t="s">
        <v>868</v>
      </c>
      <c r="B117" s="1" t="str">
        <f t="shared" si="1"/>
        <v>Alameda,  Contra Costa,  Humboldt,  Lake,  Marin,  Mendocino,  Napa,  Solano,  Sonoma,  Trinity</v>
      </c>
      <c r="C117" s="2" t="s">
        <v>1236</v>
      </c>
      <c r="I117" s="2" t="s">
        <v>1245</v>
      </c>
      <c r="N117" s="2" t="s">
        <v>1246</v>
      </c>
      <c r="S117" s="2" t="s">
        <v>1251</v>
      </c>
      <c r="W117" s="2" t="s">
        <v>988</v>
      </c>
      <c r="Y117" s="2" t="s">
        <v>1254</v>
      </c>
      <c r="AD117" s="2" t="s">
        <v>1258</v>
      </c>
      <c r="AX117" s="2" t="s">
        <v>1277</v>
      </c>
      <c r="AY117" s="2" t="s">
        <v>1278</v>
      </c>
      <c r="BC117" s="2" t="s">
        <v>1282</v>
      </c>
      <c r="BJ117" s="2"/>
    </row>
    <row r="118" spans="1:62" ht="30" customHeight="1" x14ac:dyDescent="0.25">
      <c r="A118" s="1" t="s">
        <v>234</v>
      </c>
      <c r="B118" s="1" t="str">
        <f t="shared" si="1"/>
        <v>Alameda,  Contra Costa,  Humboldt,  Lake,  Marin,  Mendocino,  Napa,  San Francisco,  San Mateo,  Santa Clara,  Sonoma</v>
      </c>
      <c r="C118" s="2" t="s">
        <v>1236</v>
      </c>
      <c r="I118" s="2" t="s">
        <v>1245</v>
      </c>
      <c r="N118" s="2" t="s">
        <v>1246</v>
      </c>
      <c r="S118" s="2" t="s">
        <v>1251</v>
      </c>
      <c r="W118" s="2" t="s">
        <v>988</v>
      </c>
      <c r="Y118" s="2" t="s">
        <v>1254</v>
      </c>
      <c r="AD118" s="2" t="s">
        <v>1258</v>
      </c>
      <c r="AN118" s="2" t="s">
        <v>1266</v>
      </c>
      <c r="AQ118" s="2" t="s">
        <v>1268</v>
      </c>
      <c r="AS118" s="2" t="s">
        <v>1271</v>
      </c>
      <c r="AY118" s="2" t="s">
        <v>1278</v>
      </c>
      <c r="BJ118" s="2"/>
    </row>
    <row r="119" spans="1:62" ht="30" customHeight="1" x14ac:dyDescent="0.25">
      <c r="A119" s="1" t="s">
        <v>867</v>
      </c>
      <c r="B119" s="1" t="str">
        <f t="shared" si="1"/>
        <v>Sonoma</v>
      </c>
      <c r="C119" s="2"/>
      <c r="AY119" s="2" t="s">
        <v>1278</v>
      </c>
      <c r="BJ119" s="2"/>
    </row>
    <row r="120" spans="1:62" ht="30" customHeight="1" x14ac:dyDescent="0.25">
      <c r="A120" s="1" t="s">
        <v>879</v>
      </c>
      <c r="B120" s="1" t="str">
        <f t="shared" si="1"/>
        <v>San Diego</v>
      </c>
      <c r="C120" s="2"/>
      <c r="AM120" s="2" t="s">
        <v>1265</v>
      </c>
      <c r="BJ120" s="2"/>
    </row>
    <row r="121" spans="1:62" ht="30" customHeight="1" x14ac:dyDescent="0.25">
      <c r="A121" s="1" t="s">
        <v>908</v>
      </c>
      <c r="B121" s="1" t="str">
        <f t="shared" si="1"/>
        <v>El Dorado,  Lake,  Mendocino,  Napa,  Sonoma,  Yolo</v>
      </c>
      <c r="C121" s="2"/>
      <c r="K121" s="2" t="s">
        <v>1241</v>
      </c>
      <c r="S121" s="2" t="s">
        <v>1251</v>
      </c>
      <c r="Y121" s="2" t="s">
        <v>1254</v>
      </c>
      <c r="AD121" s="2" t="s">
        <v>1258</v>
      </c>
      <c r="AY121" s="2" t="s">
        <v>1278</v>
      </c>
      <c r="BG121" s="2" t="s">
        <v>1286</v>
      </c>
      <c r="BJ121" s="2"/>
    </row>
    <row r="122" spans="1:62" ht="30" customHeight="1" x14ac:dyDescent="0.25">
      <c r="A122" s="1" t="s">
        <v>75</v>
      </c>
      <c r="B122" s="1" t="str">
        <f t="shared" si="1"/>
        <v>Riverside,  San Bernardino,  San Diego</v>
      </c>
      <c r="C122" s="2"/>
      <c r="AI122" s="2" t="s">
        <v>1263</v>
      </c>
      <c r="AL122" s="2" t="s">
        <v>1264</v>
      </c>
      <c r="AM122" s="2" t="s">
        <v>1265</v>
      </c>
      <c r="BJ122" s="2"/>
    </row>
    <row r="123" spans="1:62" ht="30" customHeight="1" x14ac:dyDescent="0.25">
      <c r="A123" s="1" t="s">
        <v>41</v>
      </c>
      <c r="B123" s="1" t="str">
        <f t="shared" si="1"/>
        <v>Amador,  Butte,  El Dorado,  Lake,  Monterey,  Placer,  Sacramento,  San Luis Obispo,  Santa Cruz</v>
      </c>
      <c r="C123" s="2"/>
      <c r="E123" s="2" t="s">
        <v>1238</v>
      </c>
      <c r="F123" s="2" t="s">
        <v>1239</v>
      </c>
      <c r="K123" s="2" t="s">
        <v>1241</v>
      </c>
      <c r="S123" s="2" t="s">
        <v>1251</v>
      </c>
      <c r="AC123" s="2" t="s">
        <v>1257</v>
      </c>
      <c r="AG123" s="2" t="s">
        <v>1261</v>
      </c>
      <c r="AJ123" s="2" t="s">
        <v>1273</v>
      </c>
      <c r="AP123" s="2" t="s">
        <v>1269</v>
      </c>
      <c r="AT123" s="2" t="s">
        <v>1272</v>
      </c>
      <c r="BJ123" s="2"/>
    </row>
    <row r="124" spans="1:62" ht="30" customHeight="1" x14ac:dyDescent="0.25">
      <c r="A124" s="1" t="s">
        <v>267</v>
      </c>
      <c r="B124" s="1" t="str">
        <f t="shared" si="1"/>
        <v>Alameda,  Amador,  Calaveras,  Contra Costa,  El Dorado,  Fresno,  Imperial,  Inyo,  Kern,  Kings,  Lake,  Los Angeles,  Madera,  Marin,  Mariposa,  Mendocino,  Merced,  Monterey,  Napa,  Orange,  Riverside,  Sacramento,  San Benito,  San Bernardino,  San Diego,  San Francisco,  San Joaquin,  San Luis Obispo,  San Mateo,  Santa Barbara,  Santa Clara,  Santa Cruz,  Solano,  Sonoma,  Stanislaus,  Sutter,  Tulare,  Tuolumne,  Ventura,  Yolo</v>
      </c>
      <c r="C124" s="2" t="s">
        <v>1236</v>
      </c>
      <c r="E124" s="2" t="s">
        <v>1238</v>
      </c>
      <c r="G124" s="2" t="s">
        <v>1240</v>
      </c>
      <c r="I124" s="2" t="s">
        <v>1245</v>
      </c>
      <c r="K124" s="2" t="s">
        <v>1241</v>
      </c>
      <c r="L124" s="2" t="s">
        <v>1242</v>
      </c>
      <c r="O124" s="2" t="s">
        <v>1247</v>
      </c>
      <c r="P124" s="2" t="s">
        <v>1248</v>
      </c>
      <c r="Q124" s="2" t="s">
        <v>1249</v>
      </c>
      <c r="R124" s="2" t="s">
        <v>1250</v>
      </c>
      <c r="S124" s="2" t="s">
        <v>1251</v>
      </c>
      <c r="U124" s="2" t="s">
        <v>1289</v>
      </c>
      <c r="V124" s="2" t="s">
        <v>1252</v>
      </c>
      <c r="W124" s="2" t="s">
        <v>988</v>
      </c>
      <c r="X124" s="2" t="s">
        <v>1253</v>
      </c>
      <c r="Y124" s="2" t="s">
        <v>1254</v>
      </c>
      <c r="Z124" s="2" t="s">
        <v>1255</v>
      </c>
      <c r="AC124" s="2" t="s">
        <v>1257</v>
      </c>
      <c r="AD124" s="2" t="s">
        <v>1258</v>
      </c>
      <c r="AF124" s="2" t="s">
        <v>1260</v>
      </c>
      <c r="AI124" s="2" t="s">
        <v>1263</v>
      </c>
      <c r="AJ124" s="2" t="s">
        <v>1273</v>
      </c>
      <c r="AK124" s="2" t="s">
        <v>1290</v>
      </c>
      <c r="AL124" s="2" t="s">
        <v>1264</v>
      </c>
      <c r="AM124" s="2" t="s">
        <v>1265</v>
      </c>
      <c r="AN124" s="2" t="s">
        <v>1266</v>
      </c>
      <c r="AO124" s="2" t="s">
        <v>1267</v>
      </c>
      <c r="AP124" s="2" t="s">
        <v>1269</v>
      </c>
      <c r="AQ124" s="2" t="s">
        <v>1268</v>
      </c>
      <c r="AR124" s="2" t="s">
        <v>1270</v>
      </c>
      <c r="AS124" s="2" t="s">
        <v>1271</v>
      </c>
      <c r="AT124" s="2" t="s">
        <v>1272</v>
      </c>
      <c r="AX124" s="2" t="s">
        <v>1277</v>
      </c>
      <c r="AY124" s="2" t="s">
        <v>1278</v>
      </c>
      <c r="AZ124" s="2" t="s">
        <v>1279</v>
      </c>
      <c r="BA124" s="2" t="s">
        <v>1280</v>
      </c>
      <c r="BD124" s="2" t="s">
        <v>1283</v>
      </c>
      <c r="BE124" s="2" t="s">
        <v>1284</v>
      </c>
      <c r="BF124" s="2" t="s">
        <v>1285</v>
      </c>
      <c r="BG124" s="2" t="s">
        <v>1286</v>
      </c>
      <c r="BJ124" s="2"/>
    </row>
    <row r="125" spans="1:62" ht="30" customHeight="1" x14ac:dyDescent="0.25">
      <c r="A125" s="1" t="s">
        <v>109</v>
      </c>
      <c r="B125"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25" s="2" t="s">
        <v>1236</v>
      </c>
      <c r="D125" s="2" t="s">
        <v>1237</v>
      </c>
      <c r="E125" s="2" t="s">
        <v>1238</v>
      </c>
      <c r="F125" s="2" t="s">
        <v>1239</v>
      </c>
      <c r="G125" s="2" t="s">
        <v>1240</v>
      </c>
      <c r="H125" s="2" t="s">
        <v>1244</v>
      </c>
      <c r="I125" s="2" t="s">
        <v>1245</v>
      </c>
      <c r="J125" s="2" t="s">
        <v>1291</v>
      </c>
      <c r="K125" s="2" t="s">
        <v>1241</v>
      </c>
      <c r="L125" s="2" t="s">
        <v>1242</v>
      </c>
      <c r="M125" s="2" t="s">
        <v>1243</v>
      </c>
      <c r="N125" s="2" t="s">
        <v>1246</v>
      </c>
      <c r="O125" s="2" t="s">
        <v>1247</v>
      </c>
      <c r="P125" s="2" t="s">
        <v>1248</v>
      </c>
      <c r="Q125" s="2" t="s">
        <v>1249</v>
      </c>
      <c r="R125" s="2" t="s">
        <v>1250</v>
      </c>
      <c r="S125" s="2" t="s">
        <v>1251</v>
      </c>
      <c r="T125" s="2" t="s">
        <v>1288</v>
      </c>
      <c r="U125" s="2" t="s">
        <v>1289</v>
      </c>
      <c r="V125" s="2" t="s">
        <v>1252</v>
      </c>
      <c r="W125" s="2" t="s">
        <v>988</v>
      </c>
      <c r="X125" s="2" t="s">
        <v>1253</v>
      </c>
      <c r="Y125" s="2" t="s">
        <v>1254</v>
      </c>
      <c r="Z125" s="2" t="s">
        <v>1255</v>
      </c>
      <c r="AA125" s="2" t="s">
        <v>1292</v>
      </c>
      <c r="AB125" s="2" t="s">
        <v>1256</v>
      </c>
      <c r="AC125" s="2" t="s">
        <v>1257</v>
      </c>
      <c r="AD125" s="2" t="s">
        <v>1258</v>
      </c>
      <c r="AE125" s="2" t="s">
        <v>1259</v>
      </c>
      <c r="AF125" s="2" t="s">
        <v>1260</v>
      </c>
      <c r="AG125" s="2" t="s">
        <v>1261</v>
      </c>
      <c r="AH125" s="2" t="s">
        <v>1262</v>
      </c>
      <c r="AI125" s="2" t="s">
        <v>1263</v>
      </c>
      <c r="AJ125" s="2" t="s">
        <v>1273</v>
      </c>
      <c r="AK125" s="2" t="s">
        <v>1290</v>
      </c>
      <c r="AL125" s="2" t="s">
        <v>1264</v>
      </c>
      <c r="AM125" s="2" t="s">
        <v>1265</v>
      </c>
      <c r="AN125" s="2" t="s">
        <v>1266</v>
      </c>
      <c r="AO125" s="2" t="s">
        <v>1267</v>
      </c>
      <c r="AP125" s="2" t="s">
        <v>1269</v>
      </c>
      <c r="AQ125" s="2" t="s">
        <v>1268</v>
      </c>
      <c r="AR125" s="2" t="s">
        <v>1270</v>
      </c>
      <c r="AS125" s="2" t="s">
        <v>1271</v>
      </c>
      <c r="AT125" s="2" t="s">
        <v>1272</v>
      </c>
      <c r="AU125" s="2" t="s">
        <v>1274</v>
      </c>
      <c r="AV125" s="2" t="s">
        <v>1275</v>
      </c>
      <c r="AW125" s="2" t="s">
        <v>1276</v>
      </c>
      <c r="AX125" s="2" t="s">
        <v>1277</v>
      </c>
      <c r="AY125" s="2" t="s">
        <v>1278</v>
      </c>
      <c r="AZ125" s="2" t="s">
        <v>1279</v>
      </c>
      <c r="BA125" s="2" t="s">
        <v>1280</v>
      </c>
      <c r="BB125" s="2" t="s">
        <v>1281</v>
      </c>
      <c r="BC125" s="2" t="s">
        <v>1282</v>
      </c>
      <c r="BD125" s="2" t="s">
        <v>1283</v>
      </c>
      <c r="BE125" s="2" t="s">
        <v>1284</v>
      </c>
      <c r="BF125" s="2" t="s">
        <v>1285</v>
      </c>
      <c r="BG125" s="2" t="s">
        <v>1286</v>
      </c>
      <c r="BH125" s="2" t="s">
        <v>1287</v>
      </c>
      <c r="BJ125" s="2"/>
    </row>
    <row r="126" spans="1:62" ht="30" customHeight="1" x14ac:dyDescent="0.25">
      <c r="A126" s="1" t="s">
        <v>895</v>
      </c>
      <c r="B126" s="1" t="str">
        <f t="shared" si="1"/>
        <v>Alameda,  Alpine,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26" s="2" t="s">
        <v>1236</v>
      </c>
      <c r="D126" s="2" t="s">
        <v>1237</v>
      </c>
      <c r="F126" s="2" t="s">
        <v>1239</v>
      </c>
      <c r="G126" s="2" t="s">
        <v>1240</v>
      </c>
      <c r="H126" s="2" t="s">
        <v>1244</v>
      </c>
      <c r="I126" s="2" t="s">
        <v>1245</v>
      </c>
      <c r="J126" s="2" t="s">
        <v>1291</v>
      </c>
      <c r="K126" s="2" t="s">
        <v>1241</v>
      </c>
      <c r="L126" s="2" t="s">
        <v>1242</v>
      </c>
      <c r="M126" s="2" t="s">
        <v>1243</v>
      </c>
      <c r="N126" s="2" t="s">
        <v>1246</v>
      </c>
      <c r="O126" s="2" t="s">
        <v>1247</v>
      </c>
      <c r="P126" s="2" t="s">
        <v>1248</v>
      </c>
      <c r="Q126" s="2" t="s">
        <v>1249</v>
      </c>
      <c r="R126" s="2" t="s">
        <v>1250</v>
      </c>
      <c r="S126" s="2" t="s">
        <v>1251</v>
      </c>
      <c r="T126" s="2" t="s">
        <v>1288</v>
      </c>
      <c r="U126" s="2" t="s">
        <v>1289</v>
      </c>
      <c r="V126" s="2" t="s">
        <v>1252</v>
      </c>
      <c r="W126" s="2" t="s">
        <v>988</v>
      </c>
      <c r="X126" s="2" t="s">
        <v>1253</v>
      </c>
      <c r="Y126" s="2" t="s">
        <v>1254</v>
      </c>
      <c r="Z126" s="2" t="s">
        <v>1255</v>
      </c>
      <c r="AA126" s="2" t="s">
        <v>1292</v>
      </c>
      <c r="AB126" s="2" t="s">
        <v>1256</v>
      </c>
      <c r="AC126" s="2" t="s">
        <v>1257</v>
      </c>
      <c r="AD126" s="2" t="s">
        <v>1258</v>
      </c>
      <c r="AE126" s="2" t="s">
        <v>1259</v>
      </c>
      <c r="AF126" s="2" t="s">
        <v>1260</v>
      </c>
      <c r="AG126" s="2" t="s">
        <v>1261</v>
      </c>
      <c r="AH126" s="2" t="s">
        <v>1262</v>
      </c>
      <c r="AI126" s="2" t="s">
        <v>1263</v>
      </c>
      <c r="AJ126" s="2" t="s">
        <v>1273</v>
      </c>
      <c r="AK126" s="2" t="s">
        <v>1290</v>
      </c>
      <c r="AL126" s="2" t="s">
        <v>1264</v>
      </c>
      <c r="AM126" s="2" t="s">
        <v>1265</v>
      </c>
      <c r="AN126" s="2" t="s">
        <v>1266</v>
      </c>
      <c r="AO126" s="2" t="s">
        <v>1267</v>
      </c>
      <c r="AP126" s="2" t="s">
        <v>1269</v>
      </c>
      <c r="AQ126" s="2" t="s">
        <v>1268</v>
      </c>
      <c r="AR126" s="2" t="s">
        <v>1270</v>
      </c>
      <c r="AS126" s="2" t="s">
        <v>1271</v>
      </c>
      <c r="AT126" s="2" t="s">
        <v>1272</v>
      </c>
      <c r="AU126" s="2" t="s">
        <v>1274</v>
      </c>
      <c r="AV126" s="2" t="s">
        <v>1275</v>
      </c>
      <c r="AW126" s="2" t="s">
        <v>1276</v>
      </c>
      <c r="AX126" s="2" t="s">
        <v>1277</v>
      </c>
      <c r="AY126" s="2" t="s">
        <v>1278</v>
      </c>
      <c r="AZ126" s="2" t="s">
        <v>1279</v>
      </c>
      <c r="BA126" s="2" t="s">
        <v>1280</v>
      </c>
      <c r="BB126" s="2" t="s">
        <v>1281</v>
      </c>
      <c r="BC126" s="2" t="s">
        <v>1282</v>
      </c>
      <c r="BD126" s="2" t="s">
        <v>1283</v>
      </c>
      <c r="BE126" s="2" t="s">
        <v>1284</v>
      </c>
      <c r="BF126" s="2" t="s">
        <v>1285</v>
      </c>
      <c r="BG126" s="2" t="s">
        <v>1286</v>
      </c>
      <c r="BH126" s="2" t="s">
        <v>1287</v>
      </c>
      <c r="BJ126" s="2"/>
    </row>
    <row r="127" spans="1:62" ht="30" customHeight="1" x14ac:dyDescent="0.25">
      <c r="A127" s="1" t="s">
        <v>932</v>
      </c>
      <c r="B127" s="1" t="str">
        <f t="shared" si="1"/>
        <v>Alameda,  Alpine,  Amador,  Butte,  Calaveras,  Colusa,  Contra Costa,  El Dorado,  Fresno,  Marin,  Merced,  Mono,  Monterey,  Napa,  Nevada,  Placer,  Plumas,  Sacramento,  San Francisco,  San Mateo,  Santa Clara,  Santa Cruz,  Shasta,  Sierra,  Siskiyou,  Solano,  Sonoma,  Stanislaus,  Sutter,  Tehama,  Trinity,  Tulare,  Tuolumne,  Yolo,  Yuba</v>
      </c>
      <c r="C127" s="2" t="s">
        <v>1236</v>
      </c>
      <c r="D127" s="2" t="s">
        <v>1237</v>
      </c>
      <c r="E127" s="2" t="s">
        <v>1238</v>
      </c>
      <c r="F127" s="2" t="s">
        <v>1239</v>
      </c>
      <c r="G127" s="2" t="s">
        <v>1240</v>
      </c>
      <c r="H127" s="2" t="s">
        <v>1244</v>
      </c>
      <c r="I127" s="2" t="s">
        <v>1245</v>
      </c>
      <c r="K127" s="2" t="s">
        <v>1241</v>
      </c>
      <c r="L127" s="2" t="s">
        <v>1242</v>
      </c>
      <c r="W127" s="2" t="s">
        <v>988</v>
      </c>
      <c r="Z127" s="2" t="s">
        <v>1255</v>
      </c>
      <c r="AB127" s="2" t="s">
        <v>1256</v>
      </c>
      <c r="AC127" s="2" t="s">
        <v>1257</v>
      </c>
      <c r="AD127" s="2" t="s">
        <v>1258</v>
      </c>
      <c r="AE127" s="2" t="s">
        <v>1259</v>
      </c>
      <c r="AG127" s="2" t="s">
        <v>1261</v>
      </c>
      <c r="AH127" s="2" t="s">
        <v>1262</v>
      </c>
      <c r="AJ127" s="2" t="s">
        <v>1273</v>
      </c>
      <c r="AN127" s="2" t="s">
        <v>1266</v>
      </c>
      <c r="AQ127" s="2" t="s">
        <v>1268</v>
      </c>
      <c r="AS127" s="2" t="s">
        <v>1271</v>
      </c>
      <c r="AT127" s="2" t="s">
        <v>1272</v>
      </c>
      <c r="AU127" s="2" t="s">
        <v>1274</v>
      </c>
      <c r="AV127" s="2" t="s">
        <v>1275</v>
      </c>
      <c r="AW127" s="2" t="s">
        <v>1276</v>
      </c>
      <c r="AX127" s="2" t="s">
        <v>1277</v>
      </c>
      <c r="AY127" s="2" t="s">
        <v>1278</v>
      </c>
      <c r="AZ127" s="2" t="s">
        <v>1279</v>
      </c>
      <c r="BA127" s="2" t="s">
        <v>1280</v>
      </c>
      <c r="BB127" s="2" t="s">
        <v>1281</v>
      </c>
      <c r="BC127" s="2" t="s">
        <v>1282</v>
      </c>
      <c r="BD127" s="2" t="s">
        <v>1283</v>
      </c>
      <c r="BE127" s="2" t="s">
        <v>1284</v>
      </c>
      <c r="BG127" s="2" t="s">
        <v>1286</v>
      </c>
      <c r="BH127" s="2" t="s">
        <v>1287</v>
      </c>
      <c r="BJ127" s="2"/>
    </row>
    <row r="128" spans="1:62" ht="30" customHeight="1" x14ac:dyDescent="0.25">
      <c r="A128" s="1" t="s">
        <v>889</v>
      </c>
      <c r="B128" s="1" t="str">
        <f t="shared" si="1"/>
        <v>Los Angeles,  Orange,  Ventura</v>
      </c>
      <c r="C128" s="2"/>
      <c r="U128" s="2" t="s">
        <v>1289</v>
      </c>
      <c r="AF128" s="2" t="s">
        <v>1260</v>
      </c>
      <c r="BF128" s="2" t="s">
        <v>1285</v>
      </c>
      <c r="BJ128" s="2"/>
    </row>
    <row r="129" spans="1:62" ht="30" customHeight="1" x14ac:dyDescent="0.25">
      <c r="A129" s="1" t="s">
        <v>125</v>
      </c>
      <c r="B129" s="1" t="str">
        <f t="shared" si="1"/>
        <v>San Diego</v>
      </c>
      <c r="C129" s="2"/>
      <c r="AM129" s="2" t="s">
        <v>1265</v>
      </c>
      <c r="BJ129" s="2"/>
    </row>
    <row r="130" spans="1:62" ht="30" customHeight="1" x14ac:dyDescent="0.25">
      <c r="A130" s="1" t="s">
        <v>595</v>
      </c>
      <c r="B130" s="1" t="str">
        <f t="shared" ref="B130:B193" si="2">_xlfn.TEXTJOIN(",  ",TRUE,C130:BH130)</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0" s="2" t="s">
        <v>1236</v>
      </c>
      <c r="D130" s="2" t="s">
        <v>1237</v>
      </c>
      <c r="E130" s="2" t="s">
        <v>1238</v>
      </c>
      <c r="F130" s="2" t="s">
        <v>1239</v>
      </c>
      <c r="G130" s="2" t="s">
        <v>1240</v>
      </c>
      <c r="H130" s="2" t="s">
        <v>1244</v>
      </c>
      <c r="I130" s="2" t="s">
        <v>1245</v>
      </c>
      <c r="J130" s="2" t="s">
        <v>1291</v>
      </c>
      <c r="K130" s="2" t="s">
        <v>1241</v>
      </c>
      <c r="L130" s="2" t="s">
        <v>1242</v>
      </c>
      <c r="M130" s="2" t="s">
        <v>1243</v>
      </c>
      <c r="N130" s="2" t="s">
        <v>1246</v>
      </c>
      <c r="O130" s="2" t="s">
        <v>1247</v>
      </c>
      <c r="P130" s="2" t="s">
        <v>1248</v>
      </c>
      <c r="Q130" s="2" t="s">
        <v>1249</v>
      </c>
      <c r="R130" s="2" t="s">
        <v>1250</v>
      </c>
      <c r="S130" s="2" t="s">
        <v>1251</v>
      </c>
      <c r="T130" s="2" t="s">
        <v>1288</v>
      </c>
      <c r="U130" s="2" t="s">
        <v>1289</v>
      </c>
      <c r="V130" s="2" t="s">
        <v>1252</v>
      </c>
      <c r="W130" s="2" t="s">
        <v>988</v>
      </c>
      <c r="X130" s="2" t="s">
        <v>1253</v>
      </c>
      <c r="Y130" s="2" t="s">
        <v>1254</v>
      </c>
      <c r="Z130" s="2" t="s">
        <v>1255</v>
      </c>
      <c r="AA130" s="2" t="s">
        <v>1292</v>
      </c>
      <c r="AB130" s="2" t="s">
        <v>1256</v>
      </c>
      <c r="AC130" s="2" t="s">
        <v>1257</v>
      </c>
      <c r="AD130" s="2" t="s">
        <v>1258</v>
      </c>
      <c r="AE130" s="2" t="s">
        <v>1259</v>
      </c>
      <c r="AF130" s="2" t="s">
        <v>1260</v>
      </c>
      <c r="AG130" s="2" t="s">
        <v>1261</v>
      </c>
      <c r="AH130" s="2" t="s">
        <v>1262</v>
      </c>
      <c r="AI130" s="2" t="s">
        <v>1263</v>
      </c>
      <c r="AJ130" s="2" t="s">
        <v>1273</v>
      </c>
      <c r="AK130" s="2" t="s">
        <v>1290</v>
      </c>
      <c r="AL130" s="2" t="s">
        <v>1264</v>
      </c>
      <c r="AM130" s="2" t="s">
        <v>1265</v>
      </c>
      <c r="AN130" s="2" t="s">
        <v>1266</v>
      </c>
      <c r="AO130" s="2" t="s">
        <v>1267</v>
      </c>
      <c r="AP130" s="2" t="s">
        <v>1269</v>
      </c>
      <c r="AQ130" s="2" t="s">
        <v>1268</v>
      </c>
      <c r="AR130" s="2" t="s">
        <v>1270</v>
      </c>
      <c r="AS130" s="2" t="s">
        <v>1271</v>
      </c>
      <c r="AT130" s="2" t="s">
        <v>1272</v>
      </c>
      <c r="AU130" s="2" t="s">
        <v>1274</v>
      </c>
      <c r="AV130" s="2" t="s">
        <v>1275</v>
      </c>
      <c r="AW130" s="2" t="s">
        <v>1276</v>
      </c>
      <c r="AX130" s="2" t="s">
        <v>1277</v>
      </c>
      <c r="AY130" s="2" t="s">
        <v>1278</v>
      </c>
      <c r="AZ130" s="2" t="s">
        <v>1279</v>
      </c>
      <c r="BA130" s="2" t="s">
        <v>1280</v>
      </c>
      <c r="BB130" s="2" t="s">
        <v>1281</v>
      </c>
      <c r="BC130" s="2" t="s">
        <v>1282</v>
      </c>
      <c r="BD130" s="2" t="s">
        <v>1283</v>
      </c>
      <c r="BE130" s="2" t="s">
        <v>1284</v>
      </c>
      <c r="BF130" s="2" t="s">
        <v>1285</v>
      </c>
      <c r="BG130" s="2" t="s">
        <v>1286</v>
      </c>
      <c r="BH130" s="2" t="s">
        <v>1287</v>
      </c>
      <c r="BJ130" s="2"/>
    </row>
    <row r="131" spans="1:62" ht="30" customHeight="1" x14ac:dyDescent="0.25">
      <c r="A131" s="1" t="s">
        <v>448</v>
      </c>
      <c r="B131" s="1" t="str">
        <f t="shared" si="2"/>
        <v>Los Angeles,  Santa Barbara,  Ventura</v>
      </c>
      <c r="C131" s="2"/>
      <c r="U131" s="2" t="s">
        <v>1289</v>
      </c>
      <c r="AR131" s="2" t="s">
        <v>1270</v>
      </c>
      <c r="BF131" s="2" t="s">
        <v>1285</v>
      </c>
      <c r="BJ131" s="2"/>
    </row>
    <row r="132" spans="1:62" ht="30" customHeight="1" x14ac:dyDescent="0.25">
      <c r="A132" s="1" t="s">
        <v>187</v>
      </c>
      <c r="B132" s="1" t="str">
        <f t="shared" si="2"/>
        <v>San Diego</v>
      </c>
      <c r="C132" s="2"/>
      <c r="AM132" s="2" t="s">
        <v>1265</v>
      </c>
      <c r="BJ132" s="2"/>
    </row>
    <row r="133" spans="1:62" ht="30" customHeight="1" x14ac:dyDescent="0.25">
      <c r="A133" s="1" t="s">
        <v>860</v>
      </c>
      <c r="B133" s="1" t="str">
        <f t="shared" si="2"/>
        <v>Los Angeles,  Ventura</v>
      </c>
      <c r="C133" s="2"/>
      <c r="U133" s="2" t="s">
        <v>1289</v>
      </c>
      <c r="BF133" s="2" t="s">
        <v>1285</v>
      </c>
      <c r="BJ133" s="2"/>
    </row>
    <row r="134" spans="1:62" ht="30" customHeight="1" x14ac:dyDescent="0.25">
      <c r="A134" s="1" t="s">
        <v>83</v>
      </c>
      <c r="B134"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4" s="2" t="s">
        <v>1236</v>
      </c>
      <c r="D134" s="2" t="s">
        <v>1237</v>
      </c>
      <c r="E134" s="2" t="s">
        <v>1238</v>
      </c>
      <c r="F134" s="2" t="s">
        <v>1239</v>
      </c>
      <c r="G134" s="2" t="s">
        <v>1240</v>
      </c>
      <c r="H134" s="2" t="s">
        <v>1244</v>
      </c>
      <c r="I134" s="2" t="s">
        <v>1245</v>
      </c>
      <c r="J134" s="2" t="s">
        <v>1291</v>
      </c>
      <c r="K134" s="2" t="s">
        <v>1241</v>
      </c>
      <c r="L134" s="2" t="s">
        <v>1242</v>
      </c>
      <c r="M134" s="2" t="s">
        <v>1243</v>
      </c>
      <c r="N134" s="2" t="s">
        <v>1246</v>
      </c>
      <c r="O134" s="2" t="s">
        <v>1247</v>
      </c>
      <c r="P134" s="2" t="s">
        <v>1248</v>
      </c>
      <c r="Q134" s="2" t="s">
        <v>1249</v>
      </c>
      <c r="R134" s="2" t="s">
        <v>1250</v>
      </c>
      <c r="S134" s="2" t="s">
        <v>1251</v>
      </c>
      <c r="T134" s="2" t="s">
        <v>1288</v>
      </c>
      <c r="U134" s="2" t="s">
        <v>1289</v>
      </c>
      <c r="V134" s="2" t="s">
        <v>1252</v>
      </c>
      <c r="W134" s="2" t="s">
        <v>988</v>
      </c>
      <c r="X134" s="2" t="s">
        <v>1253</v>
      </c>
      <c r="Y134" s="2" t="s">
        <v>1254</v>
      </c>
      <c r="Z134" s="2" t="s">
        <v>1255</v>
      </c>
      <c r="AA134" s="2" t="s">
        <v>1292</v>
      </c>
      <c r="AB134" s="2" t="s">
        <v>1256</v>
      </c>
      <c r="AC134" s="2" t="s">
        <v>1257</v>
      </c>
      <c r="AD134" s="2" t="s">
        <v>1258</v>
      </c>
      <c r="AE134" s="2" t="s">
        <v>1259</v>
      </c>
      <c r="AF134" s="2" t="s">
        <v>1260</v>
      </c>
      <c r="AG134" s="2" t="s">
        <v>1261</v>
      </c>
      <c r="AH134" s="2" t="s">
        <v>1262</v>
      </c>
      <c r="AI134" s="2" t="s">
        <v>1263</v>
      </c>
      <c r="AJ134" s="2" t="s">
        <v>1273</v>
      </c>
      <c r="AK134" s="2" t="s">
        <v>1290</v>
      </c>
      <c r="AL134" s="2" t="s">
        <v>1264</v>
      </c>
      <c r="AM134" s="2" t="s">
        <v>1265</v>
      </c>
      <c r="AN134" s="2" t="s">
        <v>1266</v>
      </c>
      <c r="AO134" s="2" t="s">
        <v>1267</v>
      </c>
      <c r="AP134" s="2" t="s">
        <v>1269</v>
      </c>
      <c r="AQ134" s="2" t="s">
        <v>1268</v>
      </c>
      <c r="AR134" s="2" t="s">
        <v>1270</v>
      </c>
      <c r="AS134" s="2" t="s">
        <v>1271</v>
      </c>
      <c r="AT134" s="2" t="s">
        <v>1272</v>
      </c>
      <c r="AU134" s="2" t="s">
        <v>1274</v>
      </c>
      <c r="AV134" s="2" t="s">
        <v>1275</v>
      </c>
      <c r="AW134" s="2" t="s">
        <v>1276</v>
      </c>
      <c r="AX134" s="2" t="s">
        <v>1277</v>
      </c>
      <c r="AY134" s="2" t="s">
        <v>1278</v>
      </c>
      <c r="AZ134" s="2" t="s">
        <v>1279</v>
      </c>
      <c r="BA134" s="2" t="s">
        <v>1280</v>
      </c>
      <c r="BB134" s="2" t="s">
        <v>1281</v>
      </c>
      <c r="BC134" s="2" t="s">
        <v>1282</v>
      </c>
      <c r="BD134" s="2" t="s">
        <v>1283</v>
      </c>
      <c r="BE134" s="2" t="s">
        <v>1284</v>
      </c>
      <c r="BF134" s="2" t="s">
        <v>1285</v>
      </c>
      <c r="BG134" s="2" t="s">
        <v>1286</v>
      </c>
      <c r="BH134" s="2" t="s">
        <v>1287</v>
      </c>
      <c r="BJ134" s="2"/>
    </row>
    <row r="135" spans="1:62" ht="30" customHeight="1" x14ac:dyDescent="0.25">
      <c r="A135" s="1" t="s">
        <v>357</v>
      </c>
      <c r="B135" s="1" t="str">
        <f t="shared" si="2"/>
        <v>Lake,  Marin,  Mendocino,  Napa,  Solano,  Sonoma</v>
      </c>
      <c r="C135" s="2"/>
      <c r="S135" s="2" t="s">
        <v>1251</v>
      </c>
      <c r="W135" s="2" t="s">
        <v>988</v>
      </c>
      <c r="Y135" s="2" t="s">
        <v>1254</v>
      </c>
      <c r="AD135" s="2" t="s">
        <v>1258</v>
      </c>
      <c r="AX135" s="2" t="s">
        <v>1277</v>
      </c>
      <c r="AY135" s="2" t="s">
        <v>1278</v>
      </c>
      <c r="BJ135" s="2"/>
    </row>
    <row r="136" spans="1:62" ht="30" customHeight="1" x14ac:dyDescent="0.25">
      <c r="A136" s="1" t="s">
        <v>413</v>
      </c>
      <c r="B136" s="1" t="str">
        <f t="shared" si="2"/>
        <v>Lake,  Marin,  Mendocino,  Napa,  Solano,  Sonoma</v>
      </c>
      <c r="C136" s="2"/>
      <c r="S136" s="2" t="s">
        <v>1251</v>
      </c>
      <c r="W136" s="2" t="s">
        <v>988</v>
      </c>
      <c r="Y136" s="2" t="s">
        <v>1254</v>
      </c>
      <c r="AD136" s="2" t="s">
        <v>1258</v>
      </c>
      <c r="AX136" s="2" t="s">
        <v>1277</v>
      </c>
      <c r="AY136" s="2" t="s">
        <v>1278</v>
      </c>
      <c r="BJ136" s="2"/>
    </row>
    <row r="137" spans="1:62" ht="30" customHeight="1" x14ac:dyDescent="0.25">
      <c r="A137" s="1" t="s">
        <v>250</v>
      </c>
      <c r="B137" s="1" t="str">
        <f t="shared" si="2"/>
        <v>Alameda,  Contra Costa,  Lake,  Marin,  Napa,  Sacramento,  Solano,  Sonoma</v>
      </c>
      <c r="C137" s="2" t="s">
        <v>1236</v>
      </c>
      <c r="I137" s="2" t="s">
        <v>1245</v>
      </c>
      <c r="S137" s="2" t="s">
        <v>1251</v>
      </c>
      <c r="W137" s="2" t="s">
        <v>988</v>
      </c>
      <c r="AD137" s="2" t="s">
        <v>1258</v>
      </c>
      <c r="AJ137" s="2" t="s">
        <v>1273</v>
      </c>
      <c r="AX137" s="2" t="s">
        <v>1277</v>
      </c>
      <c r="AY137" s="2" t="s">
        <v>1278</v>
      </c>
      <c r="BJ137" s="2"/>
    </row>
    <row r="138" spans="1:62" ht="30" customHeight="1" x14ac:dyDescent="0.25">
      <c r="A138" s="1" t="s">
        <v>900</v>
      </c>
      <c r="B138" s="1" t="str">
        <f t="shared" si="2"/>
        <v>Los Angeles,  Santa Barbara,  Santa Cruz,  Ventura</v>
      </c>
      <c r="C138" s="2"/>
      <c r="U138" s="2" t="s">
        <v>1289</v>
      </c>
      <c r="AR138" s="2" t="s">
        <v>1270</v>
      </c>
      <c r="AT138" s="2" t="s">
        <v>1272</v>
      </c>
      <c r="BF138" s="2" t="s">
        <v>1285</v>
      </c>
      <c r="BJ138" s="2"/>
    </row>
    <row r="139" spans="1:62" ht="30" customHeight="1" x14ac:dyDescent="0.25">
      <c r="A139" s="1" t="s">
        <v>136</v>
      </c>
      <c r="B139" s="1" t="str">
        <f t="shared" si="2"/>
        <v>Amador,  El Dorado,  Nevada,  Placer,  Sacramento,  Solano,  Yolo</v>
      </c>
      <c r="C139" s="2"/>
      <c r="E139" s="2" t="s">
        <v>1238</v>
      </c>
      <c r="K139" s="2" t="s">
        <v>1241</v>
      </c>
      <c r="AE139" s="2" t="s">
        <v>1259</v>
      </c>
      <c r="AG139" s="2" t="s">
        <v>1261</v>
      </c>
      <c r="AJ139" s="2" t="s">
        <v>1273</v>
      </c>
      <c r="AX139" s="2" t="s">
        <v>1277</v>
      </c>
      <c r="BG139" s="2" t="s">
        <v>1286</v>
      </c>
      <c r="BJ139" s="2"/>
    </row>
    <row r="140" spans="1:62" ht="30" customHeight="1" x14ac:dyDescent="0.25">
      <c r="A140" s="1" t="s">
        <v>535</v>
      </c>
      <c r="B140" s="1" t="str">
        <f t="shared" si="2"/>
        <v>Imperial,  Orange,  Riverside,  San Diego</v>
      </c>
      <c r="C140" s="2"/>
      <c r="O140" s="2" t="s">
        <v>1247</v>
      </c>
      <c r="AF140" s="2" t="s">
        <v>1260</v>
      </c>
      <c r="AI140" s="2" t="s">
        <v>1263</v>
      </c>
      <c r="AM140" s="2" t="s">
        <v>1265</v>
      </c>
      <c r="BJ140" s="2"/>
    </row>
    <row r="141" spans="1:62" ht="30" customHeight="1" x14ac:dyDescent="0.25">
      <c r="A141" s="1" t="s">
        <v>951</v>
      </c>
      <c r="B141" s="1" t="str">
        <f t="shared" si="2"/>
        <v>Los Angeles,  Orange,  San Bernardino,  Santa Barbara,  Ventura</v>
      </c>
      <c r="C141" s="2"/>
      <c r="U141" s="2" t="s">
        <v>1289</v>
      </c>
      <c r="AF141" s="2" t="s">
        <v>1260</v>
      </c>
      <c r="AL141" s="2" t="s">
        <v>1264</v>
      </c>
      <c r="AR141" s="2" t="s">
        <v>1270</v>
      </c>
      <c r="BF141" s="2" t="s">
        <v>1285</v>
      </c>
      <c r="BJ141" s="2"/>
    </row>
    <row r="142" spans="1:62" ht="30" customHeight="1" x14ac:dyDescent="0.25">
      <c r="A142" s="1" t="s">
        <v>145</v>
      </c>
      <c r="B142" s="1" t="str">
        <f t="shared" si="2"/>
        <v>Orange,  Riverside,  San Bernardino,  San Diego</v>
      </c>
      <c r="C142" s="2"/>
      <c r="AF142" s="2" t="s">
        <v>1260</v>
      </c>
      <c r="AI142" s="2" t="s">
        <v>1263</v>
      </c>
      <c r="AL142" s="2" t="s">
        <v>1264</v>
      </c>
      <c r="AM142" s="2" t="s">
        <v>1265</v>
      </c>
      <c r="BJ142" s="2"/>
    </row>
    <row r="143" spans="1:62" ht="30" customHeight="1" x14ac:dyDescent="0.25">
      <c r="A143" s="1" t="s">
        <v>948</v>
      </c>
      <c r="B143" s="1" t="str">
        <f t="shared" si="2"/>
        <v>Los Angeles,  Orange</v>
      </c>
      <c r="C143" s="2"/>
      <c r="U143" s="2" t="s">
        <v>1289</v>
      </c>
      <c r="AF143" s="2" t="s">
        <v>1260</v>
      </c>
      <c r="BJ143" s="2"/>
    </row>
    <row r="144" spans="1:62" ht="30" customHeight="1" x14ac:dyDescent="0.25">
      <c r="A144" s="1" t="s">
        <v>880</v>
      </c>
      <c r="B144" s="1" t="str">
        <f t="shared" si="2"/>
        <v>Los Angeles,  Monterey,  Riverside,  Ventura</v>
      </c>
      <c r="C144" s="2"/>
      <c r="U144" s="2" t="s">
        <v>1289</v>
      </c>
      <c r="AC144" s="2" t="s">
        <v>1257</v>
      </c>
      <c r="AI144" s="2" t="s">
        <v>1263</v>
      </c>
      <c r="BF144" s="2" t="s">
        <v>1285</v>
      </c>
      <c r="BJ144" s="2"/>
    </row>
    <row r="145" spans="1:62" ht="30" customHeight="1" x14ac:dyDescent="0.25">
      <c r="A145" s="1" t="s">
        <v>431</v>
      </c>
      <c r="B145" s="1" t="str">
        <f t="shared" si="2"/>
        <v>Los Angeles,  Orange</v>
      </c>
      <c r="C145" s="2"/>
      <c r="U145" s="2" t="s">
        <v>1289</v>
      </c>
      <c r="AF145" s="2" t="s">
        <v>1260</v>
      </c>
      <c r="BJ145" s="2"/>
    </row>
    <row r="146" spans="1:62" ht="30" customHeight="1" x14ac:dyDescent="0.25">
      <c r="A146" s="1" t="s">
        <v>363</v>
      </c>
      <c r="B146" s="1" t="str">
        <f t="shared" si="2"/>
        <v>Amador,  Butte,  Calaveras,  Colusa,  El Dorado,  Fresno,  Glenn,  Humboldt,  Lassen,  Madera,  Marin,  Mendocino,  Merced,  Napa,  Nevada,  Placer,  Plumas,  Sacramento,  San Joaquin,  Shasta,  Siskiyou,  Sonoma,  Stanislaus,  Sutter,  Tehama,  Trinity,  Yolo,  Yuba</v>
      </c>
      <c r="C146" s="2"/>
      <c r="E146" s="2" t="s">
        <v>1238</v>
      </c>
      <c r="F146" s="2" t="s">
        <v>1239</v>
      </c>
      <c r="G146" s="2" t="s">
        <v>1240</v>
      </c>
      <c r="H146" s="2" t="s">
        <v>1244</v>
      </c>
      <c r="K146" s="2" t="s">
        <v>1241</v>
      </c>
      <c r="L146" s="2" t="s">
        <v>1242</v>
      </c>
      <c r="M146" s="2" t="s">
        <v>1243</v>
      </c>
      <c r="N146" s="2" t="s">
        <v>1246</v>
      </c>
      <c r="T146" s="2" t="s">
        <v>1288</v>
      </c>
      <c r="V146" s="2" t="s">
        <v>1252</v>
      </c>
      <c r="W146" s="2" t="s">
        <v>988</v>
      </c>
      <c r="Y146" s="2" t="s">
        <v>1254</v>
      </c>
      <c r="Z146" s="2" t="s">
        <v>1255</v>
      </c>
      <c r="AD146" s="2" t="s">
        <v>1258</v>
      </c>
      <c r="AE146" s="2" t="s">
        <v>1259</v>
      </c>
      <c r="AG146" s="2" t="s">
        <v>1261</v>
      </c>
      <c r="AH146" s="2" t="s">
        <v>1262</v>
      </c>
      <c r="AJ146" s="2" t="s">
        <v>1273</v>
      </c>
      <c r="AO146" s="2" t="s">
        <v>1267</v>
      </c>
      <c r="AU146" s="2" t="s">
        <v>1274</v>
      </c>
      <c r="AW146" s="2" t="s">
        <v>1276</v>
      </c>
      <c r="AY146" s="2" t="s">
        <v>1278</v>
      </c>
      <c r="AZ146" s="2" t="s">
        <v>1279</v>
      </c>
      <c r="BA146" s="2" t="s">
        <v>1280</v>
      </c>
      <c r="BB146" s="2" t="s">
        <v>1281</v>
      </c>
      <c r="BC146" s="2" t="s">
        <v>1282</v>
      </c>
      <c r="BG146" s="2" t="s">
        <v>1286</v>
      </c>
      <c r="BH146" s="2" t="s">
        <v>1287</v>
      </c>
      <c r="BJ146" s="2"/>
    </row>
    <row r="147" spans="1:62" ht="30" customHeight="1" x14ac:dyDescent="0.25">
      <c r="A147" s="1" t="s">
        <v>468</v>
      </c>
      <c r="B147" s="1" t="str">
        <f t="shared" si="2"/>
        <v>Marin,  Napa,  Sonoma</v>
      </c>
      <c r="C147" s="2"/>
      <c r="W147" s="2" t="s">
        <v>988</v>
      </c>
      <c r="AD147" s="2" t="s">
        <v>1258</v>
      </c>
      <c r="AY147" s="2" t="s">
        <v>1278</v>
      </c>
      <c r="BJ147" s="2"/>
    </row>
    <row r="148" spans="1:62" ht="30" customHeight="1" x14ac:dyDescent="0.25">
      <c r="A148" s="1" t="s">
        <v>935</v>
      </c>
      <c r="B148"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48" s="2" t="s">
        <v>1236</v>
      </c>
      <c r="D148" s="2" t="s">
        <v>1237</v>
      </c>
      <c r="E148" s="2" t="s">
        <v>1238</v>
      </c>
      <c r="F148" s="2" t="s">
        <v>1239</v>
      </c>
      <c r="G148" s="2" t="s">
        <v>1240</v>
      </c>
      <c r="H148" s="2" t="s">
        <v>1244</v>
      </c>
      <c r="I148" s="2" t="s">
        <v>1245</v>
      </c>
      <c r="J148" s="2" t="s">
        <v>1291</v>
      </c>
      <c r="K148" s="2" t="s">
        <v>1241</v>
      </c>
      <c r="L148" s="2" t="s">
        <v>1242</v>
      </c>
      <c r="M148" s="2" t="s">
        <v>1243</v>
      </c>
      <c r="N148" s="2" t="s">
        <v>1246</v>
      </c>
      <c r="O148" s="2" t="s">
        <v>1247</v>
      </c>
      <c r="P148" s="2" t="s">
        <v>1248</v>
      </c>
      <c r="Q148" s="2" t="s">
        <v>1249</v>
      </c>
      <c r="R148" s="2" t="s">
        <v>1250</v>
      </c>
      <c r="S148" s="2" t="s">
        <v>1251</v>
      </c>
      <c r="T148" s="2" t="s">
        <v>1288</v>
      </c>
      <c r="U148" s="2" t="s">
        <v>1289</v>
      </c>
      <c r="V148" s="2" t="s">
        <v>1252</v>
      </c>
      <c r="W148" s="2" t="s">
        <v>988</v>
      </c>
      <c r="X148" s="2" t="s">
        <v>1253</v>
      </c>
      <c r="Y148" s="2" t="s">
        <v>1254</v>
      </c>
      <c r="Z148" s="2" t="s">
        <v>1255</v>
      </c>
      <c r="AA148" s="2" t="s">
        <v>1292</v>
      </c>
      <c r="AB148" s="2" t="s">
        <v>1256</v>
      </c>
      <c r="AC148" s="2" t="s">
        <v>1257</v>
      </c>
      <c r="AD148" s="2" t="s">
        <v>1258</v>
      </c>
      <c r="AE148" s="2" t="s">
        <v>1259</v>
      </c>
      <c r="AF148" s="2" t="s">
        <v>1260</v>
      </c>
      <c r="AG148" s="2" t="s">
        <v>1261</v>
      </c>
      <c r="AH148" s="2" t="s">
        <v>1262</v>
      </c>
      <c r="AI148" s="2" t="s">
        <v>1263</v>
      </c>
      <c r="AJ148" s="2" t="s">
        <v>1273</v>
      </c>
      <c r="AK148" s="2" t="s">
        <v>1290</v>
      </c>
      <c r="AL148" s="2" t="s">
        <v>1264</v>
      </c>
      <c r="AM148" s="2" t="s">
        <v>1265</v>
      </c>
      <c r="AN148" s="2" t="s">
        <v>1266</v>
      </c>
      <c r="AO148" s="2" t="s">
        <v>1267</v>
      </c>
      <c r="AP148" s="2" t="s">
        <v>1269</v>
      </c>
      <c r="AQ148" s="2" t="s">
        <v>1268</v>
      </c>
      <c r="AR148" s="2" t="s">
        <v>1270</v>
      </c>
      <c r="AS148" s="2" t="s">
        <v>1271</v>
      </c>
      <c r="AT148" s="2" t="s">
        <v>1272</v>
      </c>
      <c r="AU148" s="2" t="s">
        <v>1274</v>
      </c>
      <c r="AV148" s="2" t="s">
        <v>1275</v>
      </c>
      <c r="AW148" s="2" t="s">
        <v>1276</v>
      </c>
      <c r="AX148" s="2" t="s">
        <v>1277</v>
      </c>
      <c r="AY148" s="2" t="s">
        <v>1278</v>
      </c>
      <c r="AZ148" s="2" t="s">
        <v>1279</v>
      </c>
      <c r="BA148" s="2" t="s">
        <v>1280</v>
      </c>
      <c r="BB148" s="2" t="s">
        <v>1281</v>
      </c>
      <c r="BC148" s="2" t="s">
        <v>1282</v>
      </c>
      <c r="BD148" s="2" t="s">
        <v>1283</v>
      </c>
      <c r="BE148" s="2" t="s">
        <v>1284</v>
      </c>
      <c r="BF148" s="2" t="s">
        <v>1285</v>
      </c>
      <c r="BG148" s="2" t="s">
        <v>1286</v>
      </c>
      <c r="BH148" s="2" t="s">
        <v>1287</v>
      </c>
      <c r="BJ148" s="2"/>
    </row>
    <row r="149" spans="1:62" ht="30" customHeight="1" x14ac:dyDescent="0.25">
      <c r="A149" s="1" t="s">
        <v>1036</v>
      </c>
      <c r="B149" s="1" t="str">
        <f t="shared" si="2"/>
        <v>Alameda,  Contra Costa,  Marin,  San Francisco,  San Mateo,  Santa Clara</v>
      </c>
      <c r="C149" s="2" t="s">
        <v>1236</v>
      </c>
      <c r="I149" s="2" t="s">
        <v>1245</v>
      </c>
      <c r="W149" s="2" t="s">
        <v>988</v>
      </c>
      <c r="AN149" s="2" t="s">
        <v>1266</v>
      </c>
      <c r="AQ149" s="2" t="s">
        <v>1268</v>
      </c>
      <c r="AS149" s="2" t="s">
        <v>1271</v>
      </c>
      <c r="BJ149" s="2"/>
    </row>
    <row r="150" spans="1:62" ht="30" customHeight="1" x14ac:dyDescent="0.25">
      <c r="A150" s="1" t="s">
        <v>264</v>
      </c>
      <c r="B150" s="1" t="str">
        <f t="shared" si="2"/>
        <v>Imperial,  Inyo,  Kern,  Los Angeles,  Orange,  Riverside,  San Bernardino,  San Diego</v>
      </c>
      <c r="C150" s="2"/>
      <c r="O150" s="2" t="s">
        <v>1247</v>
      </c>
      <c r="P150" s="2" t="s">
        <v>1248</v>
      </c>
      <c r="Q150" s="2" t="s">
        <v>1249</v>
      </c>
      <c r="U150" s="2" t="s">
        <v>1289</v>
      </c>
      <c r="AF150" s="2" t="s">
        <v>1260</v>
      </c>
      <c r="AI150" s="2" t="s">
        <v>1263</v>
      </c>
      <c r="AL150" s="2" t="s">
        <v>1264</v>
      </c>
      <c r="AM150" s="2" t="s">
        <v>1265</v>
      </c>
      <c r="BJ150" s="2"/>
    </row>
    <row r="151" spans="1:62" ht="30" customHeight="1" x14ac:dyDescent="0.25">
      <c r="A151" s="1" t="s">
        <v>286</v>
      </c>
      <c r="B151" s="1" t="str">
        <f t="shared" si="2"/>
        <v>Alameda,  Contra Costa,  Marin,  Monterey,  Napa,  Sacramento,  San Francisco,  San Mateo,  Santa Clara,  Santa Cruz,  Solano,  Sonoma,  Stanislaus</v>
      </c>
      <c r="C151" s="2" t="s">
        <v>1236</v>
      </c>
      <c r="I151" s="2" t="s">
        <v>1245</v>
      </c>
      <c r="W151" s="2" t="s">
        <v>988</v>
      </c>
      <c r="AC151" s="2" t="s">
        <v>1257</v>
      </c>
      <c r="AD151" s="2" t="s">
        <v>1258</v>
      </c>
      <c r="AJ151" s="2" t="s">
        <v>1273</v>
      </c>
      <c r="AN151" s="2" t="s">
        <v>1266</v>
      </c>
      <c r="AQ151" s="2" t="s">
        <v>1268</v>
      </c>
      <c r="AS151" s="2" t="s">
        <v>1271</v>
      </c>
      <c r="AT151" s="2" t="s">
        <v>1272</v>
      </c>
      <c r="AX151" s="2" t="s">
        <v>1277</v>
      </c>
      <c r="AY151" s="2" t="s">
        <v>1278</v>
      </c>
      <c r="AZ151" s="2" t="s">
        <v>1279</v>
      </c>
      <c r="BJ151" s="2"/>
    </row>
    <row r="152" spans="1:62" ht="30" customHeight="1" x14ac:dyDescent="0.25">
      <c r="A152" s="1" t="s">
        <v>983</v>
      </c>
      <c r="B152" s="1" t="str">
        <f t="shared" si="2"/>
        <v>Alameda,  Alpine,  Amador,  Butte,  Calaveras,  Colusa,  Contra Costa,  El Dorado,  Fresno,  Glenn,  Humboldt,  Imperial,  Kern,  Kings,  Lake,  Madera,  Marin,  Mariposa,  Mendocino,  Merced,  Mono,  Monterey,  Napa,  Nevada,  Orange,  Placer,  Plumas,  Sacramento,  San Benito,  San Francisco,  San Joaquin,  San Luis Obispo,  San Mateo,  Santa Barbara,  Santa Clara,  Santa Cruz,  Shasta,  Sierra,  Siskiyou,  Solano,  Sonoma,  Stanislaus,  Sutter,  Tulare,  Tuolumne,  Yolo,  Yuba</v>
      </c>
      <c r="C152" s="2" t="s">
        <v>1236</v>
      </c>
      <c r="D152" s="2" t="s">
        <v>1237</v>
      </c>
      <c r="E152" s="2" t="s">
        <v>1238</v>
      </c>
      <c r="F152" s="2" t="s">
        <v>1239</v>
      </c>
      <c r="G152" s="2" t="s">
        <v>1240</v>
      </c>
      <c r="H152" s="2" t="s">
        <v>1244</v>
      </c>
      <c r="I152" s="2" t="s">
        <v>1245</v>
      </c>
      <c r="K152" s="2" t="s">
        <v>1241</v>
      </c>
      <c r="L152" s="2" t="s">
        <v>1242</v>
      </c>
      <c r="M152" s="2" t="s">
        <v>1243</v>
      </c>
      <c r="N152" s="2" t="s">
        <v>1246</v>
      </c>
      <c r="O152" s="2" t="s">
        <v>1247</v>
      </c>
      <c r="Q152" s="2" t="s">
        <v>1249</v>
      </c>
      <c r="R152" s="2" t="s">
        <v>1250</v>
      </c>
      <c r="S152" s="2" t="s">
        <v>1251</v>
      </c>
      <c r="V152" s="2" t="s">
        <v>1252</v>
      </c>
      <c r="W152" s="2" t="s">
        <v>988</v>
      </c>
      <c r="X152" s="2" t="s">
        <v>1253</v>
      </c>
      <c r="Y152" s="2" t="s">
        <v>1254</v>
      </c>
      <c r="Z152" s="2" t="s">
        <v>1255</v>
      </c>
      <c r="AB152" s="2" t="s">
        <v>1256</v>
      </c>
      <c r="AC152" s="2" t="s">
        <v>1257</v>
      </c>
      <c r="AD152" s="2" t="s">
        <v>1258</v>
      </c>
      <c r="AE152" s="2" t="s">
        <v>1259</v>
      </c>
      <c r="AF152" s="2" t="s">
        <v>1260</v>
      </c>
      <c r="AG152" s="2" t="s">
        <v>1261</v>
      </c>
      <c r="AH152" s="2" t="s">
        <v>1262</v>
      </c>
      <c r="AJ152" s="2" t="s">
        <v>1273</v>
      </c>
      <c r="AK152" s="2" t="s">
        <v>1290</v>
      </c>
      <c r="AN152" s="2" t="s">
        <v>1266</v>
      </c>
      <c r="AO152" s="2" t="s">
        <v>1267</v>
      </c>
      <c r="AP152" s="2" t="s">
        <v>1269</v>
      </c>
      <c r="AQ152" s="2" t="s">
        <v>1268</v>
      </c>
      <c r="AR152" s="2" t="s">
        <v>1270</v>
      </c>
      <c r="AS152" s="2" t="s">
        <v>1271</v>
      </c>
      <c r="AT152" s="2" t="s">
        <v>1272</v>
      </c>
      <c r="AU152" s="2" t="s">
        <v>1274</v>
      </c>
      <c r="AV152" s="2" t="s">
        <v>1275</v>
      </c>
      <c r="AW152" s="2" t="s">
        <v>1276</v>
      </c>
      <c r="AX152" s="2" t="s">
        <v>1277</v>
      </c>
      <c r="AY152" s="2" t="s">
        <v>1278</v>
      </c>
      <c r="AZ152" s="2" t="s">
        <v>1279</v>
      </c>
      <c r="BA152" s="2" t="s">
        <v>1280</v>
      </c>
      <c r="BD152" s="2" t="s">
        <v>1283</v>
      </c>
      <c r="BE152" s="2" t="s">
        <v>1284</v>
      </c>
      <c r="BG152" s="2" t="s">
        <v>1286</v>
      </c>
      <c r="BH152" s="2" t="s">
        <v>1287</v>
      </c>
      <c r="BJ152" s="2"/>
    </row>
    <row r="153" spans="1:62" ht="30" customHeight="1" x14ac:dyDescent="0.25">
      <c r="A153" s="1" t="s">
        <v>903</v>
      </c>
      <c r="B153" s="1" t="str">
        <f t="shared" si="2"/>
        <v>Alpine,  Los Angeles,  Orange,  Riverside,  San Bernardino,  San Diego,  Ventura</v>
      </c>
      <c r="C153" s="2"/>
      <c r="D153" s="2" t="s">
        <v>1237</v>
      </c>
      <c r="U153" s="2" t="s">
        <v>1289</v>
      </c>
      <c r="AF153" s="2" t="s">
        <v>1260</v>
      </c>
      <c r="AI153" s="2" t="s">
        <v>1263</v>
      </c>
      <c r="AL153" s="2" t="s">
        <v>1264</v>
      </c>
      <c r="AM153" s="2" t="s">
        <v>1265</v>
      </c>
      <c r="BF153" s="2" t="s">
        <v>1285</v>
      </c>
      <c r="BJ153" s="2"/>
    </row>
    <row r="154" spans="1:62" ht="30" customHeight="1" x14ac:dyDescent="0.25">
      <c r="A154" s="1" t="s">
        <v>559</v>
      </c>
      <c r="B154" s="1" t="str">
        <f t="shared" si="2"/>
        <v>Alameda,  Contra Costa,  Fresno,  Imperial,  Inyo,  Los Angeles,  Marin,  Monterey,  Napa,  Orange,  Riverside,  Sacramento,  San Benito,  San Bernardino,  San Diego,  San Francisco,  San Mateo,  Santa Barbara,  Solano,  Sonoma,  Ventura</v>
      </c>
      <c r="C154" s="2" t="s">
        <v>1236</v>
      </c>
      <c r="I154" s="2" t="s">
        <v>1245</v>
      </c>
      <c r="L154" s="2" t="s">
        <v>1242</v>
      </c>
      <c r="O154" s="2" t="s">
        <v>1247</v>
      </c>
      <c r="P154" s="2" t="s">
        <v>1248</v>
      </c>
      <c r="U154" s="2" t="s">
        <v>1289</v>
      </c>
      <c r="W154" s="2" t="s">
        <v>988</v>
      </c>
      <c r="AC154" s="2" t="s">
        <v>1257</v>
      </c>
      <c r="AD154" s="2" t="s">
        <v>1258</v>
      </c>
      <c r="AF154" s="2" t="s">
        <v>1260</v>
      </c>
      <c r="AI154" s="2" t="s">
        <v>1263</v>
      </c>
      <c r="AJ154" s="2" t="s">
        <v>1273</v>
      </c>
      <c r="AK154" s="2" t="s">
        <v>1290</v>
      </c>
      <c r="AL154" s="2" t="s">
        <v>1264</v>
      </c>
      <c r="AM154" s="2" t="s">
        <v>1265</v>
      </c>
      <c r="AN154" s="2" t="s">
        <v>1266</v>
      </c>
      <c r="AQ154" s="2" t="s">
        <v>1268</v>
      </c>
      <c r="AR154" s="2" t="s">
        <v>1270</v>
      </c>
      <c r="AX154" s="2" t="s">
        <v>1277</v>
      </c>
      <c r="AY154" s="2" t="s">
        <v>1278</v>
      </c>
      <c r="BF154" s="2" t="s">
        <v>1285</v>
      </c>
      <c r="BJ154" s="2"/>
    </row>
    <row r="155" spans="1:62" ht="30" customHeight="1" x14ac:dyDescent="0.25">
      <c r="A155" s="1" t="s">
        <v>156</v>
      </c>
      <c r="B155" s="1" t="str">
        <f t="shared" si="2"/>
        <v>Imperial,  Los Angeles,  Orange,  Riverside,  San Bernardino,  San Diego</v>
      </c>
      <c r="C155" s="2"/>
      <c r="O155" s="2" t="s">
        <v>1247</v>
      </c>
      <c r="U155" s="2" t="s">
        <v>1289</v>
      </c>
      <c r="AF155" s="2" t="s">
        <v>1260</v>
      </c>
      <c r="AI155" s="2" t="s">
        <v>1263</v>
      </c>
      <c r="AL155" s="2" t="s">
        <v>1264</v>
      </c>
      <c r="AM155" s="2" t="s">
        <v>1265</v>
      </c>
      <c r="BJ155" s="2"/>
    </row>
    <row r="156" spans="1:62" ht="30" customHeight="1" x14ac:dyDescent="0.25">
      <c r="A156" s="1" t="s">
        <v>910</v>
      </c>
      <c r="B156" s="1" t="str">
        <f t="shared" si="2"/>
        <v>Alameda,  Monterey,  San Benito,  Santa Clara,  Santa Cruz</v>
      </c>
      <c r="C156" s="2" t="s">
        <v>1236</v>
      </c>
      <c r="AC156" s="2" t="s">
        <v>1257</v>
      </c>
      <c r="AK156" s="2" t="s">
        <v>1290</v>
      </c>
      <c r="AS156" s="2" t="s">
        <v>1271</v>
      </c>
      <c r="AT156" s="2" t="s">
        <v>1272</v>
      </c>
      <c r="BJ156" s="2"/>
    </row>
    <row r="157" spans="1:62" ht="30" customHeight="1" x14ac:dyDescent="0.25">
      <c r="A157" s="1" t="s">
        <v>921</v>
      </c>
      <c r="B157" s="1" t="str">
        <f t="shared" si="2"/>
        <v>Fresno,  Kern,  Kings,  Marin,  Monterey,  San Luis Obispo,  Santa Barbara,  Sonoma,  Tulare,  Ventura</v>
      </c>
      <c r="C157" s="2"/>
      <c r="L157" s="2" t="s">
        <v>1242</v>
      </c>
      <c r="Q157" s="2" t="s">
        <v>1249</v>
      </c>
      <c r="R157" s="2" t="s">
        <v>1250</v>
      </c>
      <c r="W157" s="2" t="s">
        <v>988</v>
      </c>
      <c r="AC157" s="2" t="s">
        <v>1257</v>
      </c>
      <c r="AP157" s="2" t="s">
        <v>1269</v>
      </c>
      <c r="AR157" s="2" t="s">
        <v>1270</v>
      </c>
      <c r="AY157" s="2" t="s">
        <v>1278</v>
      </c>
      <c r="BD157" s="2" t="s">
        <v>1283</v>
      </c>
      <c r="BF157" s="2" t="s">
        <v>1285</v>
      </c>
      <c r="BJ157" s="2"/>
    </row>
    <row r="158" spans="1:62" ht="30" customHeight="1" x14ac:dyDescent="0.25">
      <c r="A158" s="1" t="s">
        <v>940</v>
      </c>
      <c r="B158" s="1" t="str">
        <f t="shared" si="2"/>
        <v>Los Angeles,  Orange,  Riverside,  San Bernardino,  Santa Barbara,  Santa Clara,  Ventura</v>
      </c>
      <c r="C158" s="2"/>
      <c r="U158" s="2" t="s">
        <v>1289</v>
      </c>
      <c r="AF158" s="2" t="s">
        <v>1260</v>
      </c>
      <c r="AI158" s="2" t="s">
        <v>1263</v>
      </c>
      <c r="AL158" s="2" t="s">
        <v>1264</v>
      </c>
      <c r="AR158" s="2" t="s">
        <v>1270</v>
      </c>
      <c r="AS158" s="2" t="s">
        <v>1271</v>
      </c>
      <c r="BF158" s="2" t="s">
        <v>1285</v>
      </c>
      <c r="BJ158" s="2"/>
    </row>
    <row r="159" spans="1:62" ht="30" customHeight="1" x14ac:dyDescent="0.25">
      <c r="A159" s="1" t="s">
        <v>484</v>
      </c>
      <c r="B159"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59" s="2" t="s">
        <v>1236</v>
      </c>
      <c r="D159" s="2" t="s">
        <v>1237</v>
      </c>
      <c r="E159" s="2" t="s">
        <v>1238</v>
      </c>
      <c r="F159" s="2" t="s">
        <v>1239</v>
      </c>
      <c r="G159" s="2" t="s">
        <v>1240</v>
      </c>
      <c r="H159" s="2" t="s">
        <v>1244</v>
      </c>
      <c r="I159" s="2" t="s">
        <v>1245</v>
      </c>
      <c r="J159" s="2" t="s">
        <v>1291</v>
      </c>
      <c r="K159" s="2" t="s">
        <v>1241</v>
      </c>
      <c r="L159" s="2" t="s">
        <v>1242</v>
      </c>
      <c r="M159" s="2" t="s">
        <v>1243</v>
      </c>
      <c r="N159" s="2" t="s">
        <v>1246</v>
      </c>
      <c r="O159" s="2" t="s">
        <v>1247</v>
      </c>
      <c r="P159" s="2" t="s">
        <v>1248</v>
      </c>
      <c r="Q159" s="2" t="s">
        <v>1249</v>
      </c>
      <c r="R159" s="2" t="s">
        <v>1250</v>
      </c>
      <c r="S159" s="2" t="s">
        <v>1251</v>
      </c>
      <c r="T159" s="2" t="s">
        <v>1288</v>
      </c>
      <c r="U159" s="2" t="s">
        <v>1289</v>
      </c>
      <c r="V159" s="2" t="s">
        <v>1252</v>
      </c>
      <c r="W159" s="2" t="s">
        <v>988</v>
      </c>
      <c r="X159" s="2" t="s">
        <v>1253</v>
      </c>
      <c r="Y159" s="2" t="s">
        <v>1254</v>
      </c>
      <c r="Z159" s="2" t="s">
        <v>1255</v>
      </c>
      <c r="AA159" s="2" t="s">
        <v>1292</v>
      </c>
      <c r="AB159" s="2" t="s">
        <v>1256</v>
      </c>
      <c r="AC159" s="2" t="s">
        <v>1257</v>
      </c>
      <c r="AD159" s="2" t="s">
        <v>1258</v>
      </c>
      <c r="AE159" s="2" t="s">
        <v>1259</v>
      </c>
      <c r="AF159" s="2" t="s">
        <v>1260</v>
      </c>
      <c r="AG159" s="2" t="s">
        <v>1261</v>
      </c>
      <c r="AH159" s="2" t="s">
        <v>1262</v>
      </c>
      <c r="AI159" s="2" t="s">
        <v>1263</v>
      </c>
      <c r="AJ159" s="2" t="s">
        <v>1273</v>
      </c>
      <c r="AK159" s="2" t="s">
        <v>1290</v>
      </c>
      <c r="AL159" s="2" t="s">
        <v>1264</v>
      </c>
      <c r="AM159" s="2" t="s">
        <v>1265</v>
      </c>
      <c r="AN159" s="2" t="s">
        <v>1266</v>
      </c>
      <c r="AO159" s="2" t="s">
        <v>1267</v>
      </c>
      <c r="AP159" s="2" t="s">
        <v>1269</v>
      </c>
      <c r="AQ159" s="2" t="s">
        <v>1268</v>
      </c>
      <c r="AR159" s="2" t="s">
        <v>1270</v>
      </c>
      <c r="AS159" s="2" t="s">
        <v>1271</v>
      </c>
      <c r="AT159" s="2" t="s">
        <v>1272</v>
      </c>
      <c r="AU159" s="2" t="s">
        <v>1274</v>
      </c>
      <c r="AV159" s="2" t="s">
        <v>1275</v>
      </c>
      <c r="AW159" s="2" t="s">
        <v>1276</v>
      </c>
      <c r="AX159" s="2" t="s">
        <v>1277</v>
      </c>
      <c r="AY159" s="2" t="s">
        <v>1278</v>
      </c>
      <c r="AZ159" s="2" t="s">
        <v>1279</v>
      </c>
      <c r="BA159" s="2" t="s">
        <v>1280</v>
      </c>
      <c r="BB159" s="2" t="s">
        <v>1281</v>
      </c>
      <c r="BC159" s="2" t="s">
        <v>1282</v>
      </c>
      <c r="BD159" s="2" t="s">
        <v>1283</v>
      </c>
      <c r="BE159" s="2" t="s">
        <v>1284</v>
      </c>
      <c r="BF159" s="2" t="s">
        <v>1285</v>
      </c>
      <c r="BG159" s="2" t="s">
        <v>1286</v>
      </c>
      <c r="BH159" s="2" t="s">
        <v>1287</v>
      </c>
      <c r="BJ159" s="2"/>
    </row>
    <row r="160" spans="1:62" ht="30" customHeight="1" x14ac:dyDescent="0.25">
      <c r="A160" s="1" t="s">
        <v>909</v>
      </c>
      <c r="B160" s="1" t="str">
        <f t="shared" si="2"/>
        <v>Lake,  Marin,  Mendocino,  Napa,  Sonoma</v>
      </c>
      <c r="C160" s="2"/>
      <c r="S160" s="2" t="s">
        <v>1251</v>
      </c>
      <c r="W160" s="2" t="s">
        <v>988</v>
      </c>
      <c r="Y160" s="2" t="s">
        <v>1254</v>
      </c>
      <c r="AD160" s="2" t="s">
        <v>1258</v>
      </c>
      <c r="AY160" s="2" t="s">
        <v>1278</v>
      </c>
      <c r="BJ160" s="2"/>
    </row>
    <row r="161" spans="1:62" ht="30" customHeight="1" x14ac:dyDescent="0.25">
      <c r="A161" s="1" t="s">
        <v>439</v>
      </c>
      <c r="B161" s="1" t="str">
        <f t="shared" si="2"/>
        <v>Fresno,  Kern,  Kings,  Madera,  Marin,  Mariposa,  Merced,  Monterey,  San Joaquin,  San Luis Obispo,  Santa Clara,  Santa Cruz,  Stanislaus,  Tulare,  Tuolumne</v>
      </c>
      <c r="C161" s="2"/>
      <c r="L161" s="2" t="s">
        <v>1242</v>
      </c>
      <c r="Q161" s="2" t="s">
        <v>1249</v>
      </c>
      <c r="R161" s="2" t="s">
        <v>1250</v>
      </c>
      <c r="V161" s="2" t="s">
        <v>1252</v>
      </c>
      <c r="W161" s="2" t="s">
        <v>988</v>
      </c>
      <c r="X161" s="2" t="s">
        <v>1253</v>
      </c>
      <c r="Z161" s="2" t="s">
        <v>1255</v>
      </c>
      <c r="AC161" s="2" t="s">
        <v>1257</v>
      </c>
      <c r="AO161" s="2" t="s">
        <v>1267</v>
      </c>
      <c r="AP161" s="2" t="s">
        <v>1269</v>
      </c>
      <c r="AS161" s="2" t="s">
        <v>1271</v>
      </c>
      <c r="AT161" s="2" t="s">
        <v>1272</v>
      </c>
      <c r="AZ161" s="2" t="s">
        <v>1279</v>
      </c>
      <c r="BD161" s="2" t="s">
        <v>1283</v>
      </c>
      <c r="BE161" s="2" t="s">
        <v>1284</v>
      </c>
      <c r="BJ161" s="2"/>
    </row>
    <row r="162" spans="1:62" ht="30" customHeight="1" x14ac:dyDescent="0.25">
      <c r="A162" s="1" t="s">
        <v>541</v>
      </c>
      <c r="B162" s="1" t="str">
        <f t="shared" si="2"/>
        <v>Kern,  Los Angeles,  Santa Barbara,  Ventura</v>
      </c>
      <c r="C162" s="2"/>
      <c r="Q162" s="2" t="s">
        <v>1249</v>
      </c>
      <c r="U162" s="2" t="s">
        <v>1289</v>
      </c>
      <c r="AR162" s="2" t="s">
        <v>1270</v>
      </c>
      <c r="BF162" s="2" t="s">
        <v>1285</v>
      </c>
      <c r="BJ162" s="2"/>
    </row>
    <row r="163" spans="1:62" ht="30" customHeight="1" x14ac:dyDescent="0.25">
      <c r="A163" s="1" t="s">
        <v>423</v>
      </c>
      <c r="B163" s="1" t="str">
        <f t="shared" si="2"/>
        <v>Lake,  Mendocino</v>
      </c>
      <c r="C163" s="2"/>
      <c r="S163" s="2" t="s">
        <v>1251</v>
      </c>
      <c r="Y163" s="2" t="s">
        <v>1254</v>
      </c>
      <c r="BJ163" s="2"/>
    </row>
    <row r="164" spans="1:62" ht="30" customHeight="1" x14ac:dyDescent="0.25">
      <c r="A164" s="1" t="s">
        <v>354</v>
      </c>
      <c r="B164"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64" s="2" t="s">
        <v>1236</v>
      </c>
      <c r="D164" s="2" t="s">
        <v>1237</v>
      </c>
      <c r="E164" s="2" t="s">
        <v>1238</v>
      </c>
      <c r="F164" s="2" t="s">
        <v>1239</v>
      </c>
      <c r="G164" s="2" t="s">
        <v>1240</v>
      </c>
      <c r="H164" s="2" t="s">
        <v>1244</v>
      </c>
      <c r="I164" s="2" t="s">
        <v>1245</v>
      </c>
      <c r="J164" s="2" t="s">
        <v>1291</v>
      </c>
      <c r="K164" s="2" t="s">
        <v>1241</v>
      </c>
      <c r="L164" s="2" t="s">
        <v>1242</v>
      </c>
      <c r="M164" s="2" t="s">
        <v>1243</v>
      </c>
      <c r="N164" s="2" t="s">
        <v>1246</v>
      </c>
      <c r="O164" s="2" t="s">
        <v>1247</v>
      </c>
      <c r="P164" s="2" t="s">
        <v>1248</v>
      </c>
      <c r="Q164" s="2" t="s">
        <v>1249</v>
      </c>
      <c r="R164" s="2" t="s">
        <v>1250</v>
      </c>
      <c r="S164" s="2" t="s">
        <v>1251</v>
      </c>
      <c r="T164" s="2" t="s">
        <v>1288</v>
      </c>
      <c r="U164" s="2" t="s">
        <v>1289</v>
      </c>
      <c r="V164" s="2" t="s">
        <v>1252</v>
      </c>
      <c r="W164" s="2" t="s">
        <v>988</v>
      </c>
      <c r="X164" s="2" t="s">
        <v>1253</v>
      </c>
      <c r="Y164" s="2" t="s">
        <v>1254</v>
      </c>
      <c r="Z164" s="2" t="s">
        <v>1255</v>
      </c>
      <c r="AA164" s="2" t="s">
        <v>1292</v>
      </c>
      <c r="AB164" s="2" t="s">
        <v>1256</v>
      </c>
      <c r="AC164" s="2" t="s">
        <v>1257</v>
      </c>
      <c r="AD164" s="2" t="s">
        <v>1258</v>
      </c>
      <c r="AE164" s="2" t="s">
        <v>1259</v>
      </c>
      <c r="AF164" s="2" t="s">
        <v>1260</v>
      </c>
      <c r="AG164" s="2" t="s">
        <v>1261</v>
      </c>
      <c r="AH164" s="2" t="s">
        <v>1262</v>
      </c>
      <c r="AI164" s="2" t="s">
        <v>1263</v>
      </c>
      <c r="AJ164" s="2" t="s">
        <v>1273</v>
      </c>
      <c r="AK164" s="2" t="s">
        <v>1290</v>
      </c>
      <c r="AL164" s="2" t="s">
        <v>1264</v>
      </c>
      <c r="AM164" s="2" t="s">
        <v>1265</v>
      </c>
      <c r="AN164" s="2" t="s">
        <v>1266</v>
      </c>
      <c r="AO164" s="2" t="s">
        <v>1267</v>
      </c>
      <c r="AP164" s="2" t="s">
        <v>1269</v>
      </c>
      <c r="AQ164" s="2" t="s">
        <v>1268</v>
      </c>
      <c r="AR164" s="2" t="s">
        <v>1270</v>
      </c>
      <c r="AS164" s="2" t="s">
        <v>1271</v>
      </c>
      <c r="AT164" s="2" t="s">
        <v>1272</v>
      </c>
      <c r="AU164" s="2" t="s">
        <v>1274</v>
      </c>
      <c r="AV164" s="2" t="s">
        <v>1275</v>
      </c>
      <c r="AW164" s="2" t="s">
        <v>1276</v>
      </c>
      <c r="AX164" s="2" t="s">
        <v>1277</v>
      </c>
      <c r="AY164" s="2" t="s">
        <v>1278</v>
      </c>
      <c r="AZ164" s="2" t="s">
        <v>1279</v>
      </c>
      <c r="BA164" s="2" t="s">
        <v>1280</v>
      </c>
      <c r="BB164" s="2" t="s">
        <v>1281</v>
      </c>
      <c r="BC164" s="2" t="s">
        <v>1282</v>
      </c>
      <c r="BD164" s="2" t="s">
        <v>1283</v>
      </c>
      <c r="BE164" s="2" t="s">
        <v>1284</v>
      </c>
      <c r="BF164" s="2" t="s">
        <v>1285</v>
      </c>
      <c r="BG164" s="2" t="s">
        <v>1286</v>
      </c>
      <c r="BH164" s="2" t="s">
        <v>1287</v>
      </c>
      <c r="BJ164" s="2"/>
    </row>
    <row r="165" spans="1:62" ht="30" customHeight="1" x14ac:dyDescent="0.25">
      <c r="A165" s="1" t="s">
        <v>278</v>
      </c>
      <c r="B165" s="1" t="str">
        <f t="shared" si="2"/>
        <v>Imperial,  Riverside,  San Bernardino</v>
      </c>
      <c r="C165" s="2"/>
      <c r="O165" s="2" t="s">
        <v>1247</v>
      </c>
      <c r="AI165" s="2" t="s">
        <v>1263</v>
      </c>
      <c r="AL165" s="2" t="s">
        <v>1264</v>
      </c>
      <c r="BJ165" s="2"/>
    </row>
    <row r="166" spans="1:62" ht="30" customHeight="1" x14ac:dyDescent="0.25">
      <c r="A166" s="1" t="s">
        <v>341</v>
      </c>
      <c r="B166" s="1" t="str">
        <f t="shared" si="2"/>
        <v>Fresno,  Imperial,  Kern,  Los Angeles,  Madera,  Mariposa,  Mendocino,  Orange,  Riverside,  San Bernardino,  San Diego,  San Joaquin,  San Luis Obispo,  Santa Barbara,  Shasta,  Solano,  Tulare,  Ventura,  Yuba</v>
      </c>
      <c r="C166" s="2"/>
      <c r="L166" s="2" t="s">
        <v>1242</v>
      </c>
      <c r="O166" s="2" t="s">
        <v>1247</v>
      </c>
      <c r="Q166" s="2" t="s">
        <v>1249</v>
      </c>
      <c r="U166" s="2" t="s">
        <v>1289</v>
      </c>
      <c r="V166" s="2" t="s">
        <v>1252</v>
      </c>
      <c r="X166" s="2" t="s">
        <v>1253</v>
      </c>
      <c r="Y166" s="2" t="s">
        <v>1254</v>
      </c>
      <c r="AF166" s="2" t="s">
        <v>1260</v>
      </c>
      <c r="AI166" s="2" t="s">
        <v>1263</v>
      </c>
      <c r="AL166" s="2" t="s">
        <v>1264</v>
      </c>
      <c r="AM166" s="2" t="s">
        <v>1265</v>
      </c>
      <c r="AO166" s="2" t="s">
        <v>1267</v>
      </c>
      <c r="AP166" s="2" t="s">
        <v>1269</v>
      </c>
      <c r="AR166" s="2" t="s">
        <v>1270</v>
      </c>
      <c r="AU166" s="2" t="s">
        <v>1274</v>
      </c>
      <c r="AX166" s="2" t="s">
        <v>1277</v>
      </c>
      <c r="BD166" s="2" t="s">
        <v>1283</v>
      </c>
      <c r="BF166" s="2" t="s">
        <v>1285</v>
      </c>
      <c r="BH166" s="2" t="s">
        <v>1287</v>
      </c>
      <c r="BJ166" s="2"/>
    </row>
    <row r="167" spans="1:62" ht="30" customHeight="1" x14ac:dyDescent="0.25">
      <c r="A167" s="1" t="s">
        <v>854</v>
      </c>
      <c r="B167" s="1" t="str">
        <f t="shared" si="2"/>
        <v>Fresno,  Madera,  Merced,  Tulare</v>
      </c>
      <c r="C167" s="2"/>
      <c r="L167" s="2" t="s">
        <v>1242</v>
      </c>
      <c r="V167" s="2" t="s">
        <v>1252</v>
      </c>
      <c r="Z167" s="2" t="s">
        <v>1255</v>
      </c>
      <c r="BD167" s="2" t="s">
        <v>1283</v>
      </c>
      <c r="BJ167" s="2"/>
    </row>
    <row r="168" spans="1:62" ht="30" customHeight="1" x14ac:dyDescent="0.25">
      <c r="A168" s="1" t="s">
        <v>312</v>
      </c>
      <c r="B168" s="1" t="str">
        <f t="shared" si="2"/>
        <v>Butte,  Colusa,  Glenn,  Tehama,  Yuba</v>
      </c>
      <c r="C168" s="2"/>
      <c r="F168" s="2" t="s">
        <v>1239</v>
      </c>
      <c r="H168" s="2" t="s">
        <v>1244</v>
      </c>
      <c r="M168" s="2" t="s">
        <v>1243</v>
      </c>
      <c r="BB168" s="2" t="s">
        <v>1281</v>
      </c>
      <c r="BH168" s="2" t="s">
        <v>1287</v>
      </c>
      <c r="BJ168" s="2"/>
    </row>
    <row r="169" spans="1:62" ht="30" customHeight="1" x14ac:dyDescent="0.25">
      <c r="A169" s="1" t="s">
        <v>465</v>
      </c>
      <c r="B169"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69" s="2" t="s">
        <v>1236</v>
      </c>
      <c r="D169" s="2" t="s">
        <v>1237</v>
      </c>
      <c r="E169" s="2" t="s">
        <v>1238</v>
      </c>
      <c r="F169" s="2" t="s">
        <v>1239</v>
      </c>
      <c r="G169" s="2" t="s">
        <v>1240</v>
      </c>
      <c r="H169" s="2" t="s">
        <v>1244</v>
      </c>
      <c r="I169" s="2" t="s">
        <v>1245</v>
      </c>
      <c r="J169" s="2" t="s">
        <v>1291</v>
      </c>
      <c r="K169" s="2" t="s">
        <v>1241</v>
      </c>
      <c r="L169" s="2" t="s">
        <v>1242</v>
      </c>
      <c r="M169" s="2" t="s">
        <v>1243</v>
      </c>
      <c r="N169" s="2" t="s">
        <v>1246</v>
      </c>
      <c r="O169" s="2" t="s">
        <v>1247</v>
      </c>
      <c r="P169" s="2" t="s">
        <v>1248</v>
      </c>
      <c r="Q169" s="2" t="s">
        <v>1249</v>
      </c>
      <c r="R169" s="2" t="s">
        <v>1250</v>
      </c>
      <c r="S169" s="2" t="s">
        <v>1251</v>
      </c>
      <c r="T169" s="2" t="s">
        <v>1288</v>
      </c>
      <c r="U169" s="2" t="s">
        <v>1289</v>
      </c>
      <c r="V169" s="2" t="s">
        <v>1252</v>
      </c>
      <c r="W169" s="2" t="s">
        <v>988</v>
      </c>
      <c r="X169" s="2" t="s">
        <v>1253</v>
      </c>
      <c r="Y169" s="2" t="s">
        <v>1254</v>
      </c>
      <c r="Z169" s="2" t="s">
        <v>1255</v>
      </c>
      <c r="AA169" s="2" t="s">
        <v>1292</v>
      </c>
      <c r="AB169" s="2" t="s">
        <v>1256</v>
      </c>
      <c r="AC169" s="2" t="s">
        <v>1257</v>
      </c>
      <c r="AD169" s="2" t="s">
        <v>1258</v>
      </c>
      <c r="AE169" s="2" t="s">
        <v>1259</v>
      </c>
      <c r="AF169" s="2" t="s">
        <v>1260</v>
      </c>
      <c r="AG169" s="2" t="s">
        <v>1261</v>
      </c>
      <c r="AH169" s="2" t="s">
        <v>1262</v>
      </c>
      <c r="AI169" s="2" t="s">
        <v>1263</v>
      </c>
      <c r="AJ169" s="2" t="s">
        <v>1273</v>
      </c>
      <c r="AK169" s="2" t="s">
        <v>1290</v>
      </c>
      <c r="AL169" s="2" t="s">
        <v>1264</v>
      </c>
      <c r="AM169" s="2" t="s">
        <v>1265</v>
      </c>
      <c r="AN169" s="2" t="s">
        <v>1266</v>
      </c>
      <c r="AO169" s="2" t="s">
        <v>1267</v>
      </c>
      <c r="AP169" s="2" t="s">
        <v>1269</v>
      </c>
      <c r="AQ169" s="2" t="s">
        <v>1268</v>
      </c>
      <c r="AR169" s="2" t="s">
        <v>1270</v>
      </c>
      <c r="AS169" s="2" t="s">
        <v>1271</v>
      </c>
      <c r="AT169" s="2" t="s">
        <v>1272</v>
      </c>
      <c r="AU169" s="2" t="s">
        <v>1274</v>
      </c>
      <c r="AV169" s="2" t="s">
        <v>1275</v>
      </c>
      <c r="AW169" s="2" t="s">
        <v>1276</v>
      </c>
      <c r="AX169" s="2" t="s">
        <v>1277</v>
      </c>
      <c r="AY169" s="2" t="s">
        <v>1278</v>
      </c>
      <c r="AZ169" s="2" t="s">
        <v>1279</v>
      </c>
      <c r="BA169" s="2" t="s">
        <v>1280</v>
      </c>
      <c r="BB169" s="2" t="s">
        <v>1281</v>
      </c>
      <c r="BC169" s="2" t="s">
        <v>1282</v>
      </c>
      <c r="BD169" s="2" t="s">
        <v>1283</v>
      </c>
      <c r="BE169" s="2" t="s">
        <v>1284</v>
      </c>
      <c r="BF169" s="2" t="s">
        <v>1285</v>
      </c>
      <c r="BG169" s="2" t="s">
        <v>1286</v>
      </c>
      <c r="BH169" s="2" t="s">
        <v>1287</v>
      </c>
      <c r="BJ169" s="2"/>
    </row>
    <row r="170" spans="1:62" ht="30" customHeight="1" x14ac:dyDescent="0.25">
      <c r="A170" s="1" t="s">
        <v>394</v>
      </c>
      <c r="B170" s="1" t="str">
        <f t="shared" si="2"/>
        <v>San Diego</v>
      </c>
      <c r="C170" s="2"/>
      <c r="AM170" s="2" t="s">
        <v>1265</v>
      </c>
      <c r="BJ170" s="2"/>
    </row>
    <row r="171" spans="1:62" ht="30" customHeight="1" x14ac:dyDescent="0.25">
      <c r="A171" s="1" t="s">
        <v>890</v>
      </c>
      <c r="B171" s="1" t="str">
        <f t="shared" si="2"/>
        <v>San Diego</v>
      </c>
      <c r="C171" s="2"/>
      <c r="AM171" s="2" t="s">
        <v>1265</v>
      </c>
      <c r="BJ171" s="2"/>
    </row>
    <row r="172" spans="1:62" ht="30" customHeight="1" x14ac:dyDescent="0.25">
      <c r="A172" s="1" t="s">
        <v>171</v>
      </c>
      <c r="B172" s="1" t="str">
        <f t="shared" si="2"/>
        <v>Contra Costa,  Humboldt,  Lassen,  Marin,  Mendocino,  Monterey,  Napa,  Nevada,  Placer,  Plumas,  Sacramento,  San Francisco,  San Luis Obispo,  San Mateo,  Santa Clara,  Santa Cruz,  Shasta,  Solano,  Sonoma,  Trinity</v>
      </c>
      <c r="C172" s="2"/>
      <c r="I172" s="2" t="s">
        <v>1245</v>
      </c>
      <c r="N172" s="2" t="s">
        <v>1246</v>
      </c>
      <c r="T172" s="2" t="s">
        <v>1288</v>
      </c>
      <c r="W172" s="2" t="s">
        <v>988</v>
      </c>
      <c r="Y172" s="2" t="s">
        <v>1254</v>
      </c>
      <c r="AC172" s="2" t="s">
        <v>1257</v>
      </c>
      <c r="AD172" s="2" t="s">
        <v>1258</v>
      </c>
      <c r="AE172" s="2" t="s">
        <v>1259</v>
      </c>
      <c r="AG172" s="2" t="s">
        <v>1261</v>
      </c>
      <c r="AH172" s="2" t="s">
        <v>1262</v>
      </c>
      <c r="AJ172" s="2" t="s">
        <v>1273</v>
      </c>
      <c r="AN172" s="2" t="s">
        <v>1266</v>
      </c>
      <c r="AP172" s="2" t="s">
        <v>1269</v>
      </c>
      <c r="AQ172" s="2" t="s">
        <v>1268</v>
      </c>
      <c r="AS172" s="2" t="s">
        <v>1271</v>
      </c>
      <c r="AT172" s="2" t="s">
        <v>1272</v>
      </c>
      <c r="AU172" s="2" t="s">
        <v>1274</v>
      </c>
      <c r="AX172" s="2" t="s">
        <v>1277</v>
      </c>
      <c r="AY172" s="2" t="s">
        <v>1278</v>
      </c>
      <c r="BC172" s="2" t="s">
        <v>1282</v>
      </c>
      <c r="BJ172" s="2"/>
    </row>
    <row r="173" spans="1:62" ht="30" customHeight="1" x14ac:dyDescent="0.25">
      <c r="A173" s="1" t="s">
        <v>405</v>
      </c>
      <c r="B173" s="1" t="str">
        <f t="shared" si="2"/>
        <v>Orange,  Riverside,  San Diego</v>
      </c>
      <c r="C173" s="2"/>
      <c r="AF173" s="2" t="s">
        <v>1260</v>
      </c>
      <c r="AI173" s="2" t="s">
        <v>1263</v>
      </c>
      <c r="AM173" s="2" t="s">
        <v>1265</v>
      </c>
      <c r="BJ173" s="2"/>
    </row>
    <row r="174" spans="1:62" ht="30" customHeight="1" x14ac:dyDescent="0.25">
      <c r="A174" s="1" t="s">
        <v>237</v>
      </c>
      <c r="B174" s="1" t="str">
        <f t="shared" si="2"/>
        <v>Alameda,  Contra Costa,  Marin,  Napa,  San Mateo</v>
      </c>
      <c r="C174" s="2" t="s">
        <v>1236</v>
      </c>
      <c r="I174" s="2" t="s">
        <v>1245</v>
      </c>
      <c r="W174" s="2" t="s">
        <v>988</v>
      </c>
      <c r="AD174" s="2" t="s">
        <v>1258</v>
      </c>
      <c r="AQ174" s="2" t="s">
        <v>1268</v>
      </c>
      <c r="BJ174" s="2"/>
    </row>
    <row r="175" spans="1:62" ht="30" customHeight="1" x14ac:dyDescent="0.25">
      <c r="A175" s="1" t="s">
        <v>290</v>
      </c>
      <c r="B175" s="1" t="str">
        <f t="shared" si="2"/>
        <v>Humboldt</v>
      </c>
      <c r="C175" s="2"/>
      <c r="N175" s="2" t="s">
        <v>1246</v>
      </c>
      <c r="BJ175" s="2"/>
    </row>
    <row r="176" spans="1:62" ht="30" customHeight="1" x14ac:dyDescent="0.25">
      <c r="A176" s="1" t="s">
        <v>630</v>
      </c>
      <c r="B176" s="1" t="str">
        <f t="shared" si="2"/>
        <v>Alameda,  Contra Costa,  Fresno,  Imperial,  Kern,  Kings,  Los Angeles,  Madera,  Marin,  Merced,  Monterey,  Napa,  Orange,  Placer,  Riverside,  Sacramento,  San Bernardino,  San Diego,  San Joaquin,  San Mateo,  Santa Clara,  Santa Cruz,  Solano,  Sonoma,  Stanislaus,  Sutter,  Tulare,  Ventura,  Yolo,  Yuba</v>
      </c>
      <c r="C176" s="2" t="s">
        <v>1236</v>
      </c>
      <c r="I176" s="2" t="s">
        <v>1245</v>
      </c>
      <c r="L176" s="2" t="s">
        <v>1242</v>
      </c>
      <c r="O176" s="2" t="s">
        <v>1247</v>
      </c>
      <c r="Q176" s="2" t="s">
        <v>1249</v>
      </c>
      <c r="R176" s="2" t="s">
        <v>1250</v>
      </c>
      <c r="U176" s="2" t="s">
        <v>1289</v>
      </c>
      <c r="V176" s="2" t="s">
        <v>1252</v>
      </c>
      <c r="W176" s="2" t="s">
        <v>988</v>
      </c>
      <c r="Z176" s="2" t="s">
        <v>1255</v>
      </c>
      <c r="AC176" s="2" t="s">
        <v>1257</v>
      </c>
      <c r="AD176" s="2" t="s">
        <v>1258</v>
      </c>
      <c r="AF176" s="2" t="s">
        <v>1260</v>
      </c>
      <c r="AG176" s="2" t="s">
        <v>1261</v>
      </c>
      <c r="AI176" s="2" t="s">
        <v>1263</v>
      </c>
      <c r="AJ176" s="2" t="s">
        <v>1273</v>
      </c>
      <c r="AL176" s="2" t="s">
        <v>1264</v>
      </c>
      <c r="AM176" s="2" t="s">
        <v>1265</v>
      </c>
      <c r="AO176" s="2" t="s">
        <v>1267</v>
      </c>
      <c r="AQ176" s="2" t="s">
        <v>1268</v>
      </c>
      <c r="AS176" s="2" t="s">
        <v>1271</v>
      </c>
      <c r="AT176" s="2" t="s">
        <v>1272</v>
      </c>
      <c r="AX176" s="2" t="s">
        <v>1277</v>
      </c>
      <c r="AY176" s="2" t="s">
        <v>1278</v>
      </c>
      <c r="AZ176" s="2" t="s">
        <v>1279</v>
      </c>
      <c r="BA176" s="2" t="s">
        <v>1280</v>
      </c>
      <c r="BD176" s="2" t="s">
        <v>1283</v>
      </c>
      <c r="BF176" s="2" t="s">
        <v>1285</v>
      </c>
      <c r="BG176" s="2" t="s">
        <v>1286</v>
      </c>
      <c r="BH176" s="2" t="s">
        <v>1287</v>
      </c>
      <c r="BJ176" s="2"/>
    </row>
    <row r="177" spans="1:62" ht="30" customHeight="1" x14ac:dyDescent="0.25">
      <c r="A177" s="1" t="s">
        <v>139</v>
      </c>
      <c r="B177" s="1" t="str">
        <f t="shared" si="2"/>
        <v>Amador,  El Dorado,  Placer</v>
      </c>
      <c r="C177" s="2"/>
      <c r="E177" s="2" t="s">
        <v>1238</v>
      </c>
      <c r="K177" s="2" t="s">
        <v>1241</v>
      </c>
      <c r="AG177" s="2" t="s">
        <v>1261</v>
      </c>
      <c r="BJ177" s="2"/>
    </row>
    <row r="178" spans="1:62" ht="30" customHeight="1" x14ac:dyDescent="0.25">
      <c r="A178" s="1" t="s">
        <v>886</v>
      </c>
      <c r="B178" s="1" t="str">
        <f t="shared" si="2"/>
        <v>Amador,  Calaveras,  El Dorado,  Nevada,  Placer,  Sacramento,  San Joaquin,  Solano,  Stanislaus,  Sutter,  Yolo,  Yuba</v>
      </c>
      <c r="C178" s="2"/>
      <c r="E178" s="2" t="s">
        <v>1238</v>
      </c>
      <c r="G178" s="2" t="s">
        <v>1240</v>
      </c>
      <c r="K178" s="2" t="s">
        <v>1241</v>
      </c>
      <c r="AE178" s="2" t="s">
        <v>1259</v>
      </c>
      <c r="AG178" s="2" t="s">
        <v>1261</v>
      </c>
      <c r="AJ178" s="2" t="s">
        <v>1273</v>
      </c>
      <c r="AO178" s="2" t="s">
        <v>1267</v>
      </c>
      <c r="AX178" s="2" t="s">
        <v>1277</v>
      </c>
      <c r="AZ178" s="2" t="s">
        <v>1279</v>
      </c>
      <c r="BA178" s="2" t="s">
        <v>1280</v>
      </c>
      <c r="BG178" s="2" t="s">
        <v>1286</v>
      </c>
      <c r="BH178" s="2" t="s">
        <v>1287</v>
      </c>
      <c r="BJ178" s="2"/>
    </row>
    <row r="179" spans="1:62" ht="30" customHeight="1" x14ac:dyDescent="0.25">
      <c r="A179" s="1" t="s">
        <v>934</v>
      </c>
      <c r="B179" s="1" t="str">
        <f t="shared" si="2"/>
        <v>Amador,  Calaveras,  El Dorado,  Fresno,  Madera,  Mariposa,  Merced,  Placer,  Sacramento,  San Joaquin,  Stanislaus,  Tuolumne</v>
      </c>
      <c r="C179" s="2"/>
      <c r="E179" s="2" t="s">
        <v>1238</v>
      </c>
      <c r="G179" s="2" t="s">
        <v>1240</v>
      </c>
      <c r="K179" s="2" t="s">
        <v>1241</v>
      </c>
      <c r="L179" s="2" t="s">
        <v>1242</v>
      </c>
      <c r="V179" s="2" t="s">
        <v>1252</v>
      </c>
      <c r="X179" s="2" t="s">
        <v>1253</v>
      </c>
      <c r="Z179" s="2" t="s">
        <v>1255</v>
      </c>
      <c r="AG179" s="2" t="s">
        <v>1261</v>
      </c>
      <c r="AJ179" s="2" t="s">
        <v>1273</v>
      </c>
      <c r="AO179" s="2" t="s">
        <v>1267</v>
      </c>
      <c r="AZ179" s="2" t="s">
        <v>1279</v>
      </c>
      <c r="BE179" s="2" t="s">
        <v>1284</v>
      </c>
      <c r="BJ179" s="2"/>
    </row>
    <row r="180" spans="1:62" ht="30" customHeight="1" x14ac:dyDescent="0.25">
      <c r="A180" s="1" t="s">
        <v>562</v>
      </c>
      <c r="B180" s="1" t="str">
        <f t="shared" si="2"/>
        <v>Alameda,  Marin,  Monterey,  Placer,  Sacramento,  San Benito,  San Mateo,  Santa Clara,  Santa Cruz,  Sonoma</v>
      </c>
      <c r="C180" s="2" t="s">
        <v>1236</v>
      </c>
      <c r="W180" s="2" t="s">
        <v>988</v>
      </c>
      <c r="AC180" s="2" t="s">
        <v>1257</v>
      </c>
      <c r="AG180" s="2" t="s">
        <v>1261</v>
      </c>
      <c r="AJ180" s="2" t="s">
        <v>1273</v>
      </c>
      <c r="AK180" s="2" t="s">
        <v>1290</v>
      </c>
      <c r="AQ180" s="2" t="s">
        <v>1268</v>
      </c>
      <c r="AS180" s="2" t="s">
        <v>1271</v>
      </c>
      <c r="AT180" s="2" t="s">
        <v>1272</v>
      </c>
      <c r="AY180" s="2" t="s">
        <v>1278</v>
      </c>
      <c r="BJ180" s="2"/>
    </row>
    <row r="181" spans="1:62" ht="30" customHeight="1" x14ac:dyDescent="0.25">
      <c r="A181" s="1" t="s">
        <v>933</v>
      </c>
      <c r="B181" s="1" t="str">
        <f t="shared" si="2"/>
        <v>Los Angeles,  Orange,  Riverside,  San Bernardino,  San Diego,  Santa Barbara,  Ventura</v>
      </c>
      <c r="C181" s="2"/>
      <c r="U181" s="2" t="s">
        <v>1289</v>
      </c>
      <c r="AF181" s="2" t="s">
        <v>1260</v>
      </c>
      <c r="AI181" s="2" t="s">
        <v>1263</v>
      </c>
      <c r="AL181" s="2" t="s">
        <v>1264</v>
      </c>
      <c r="AM181" s="2" t="s">
        <v>1265</v>
      </c>
      <c r="AR181" s="2" t="s">
        <v>1270</v>
      </c>
      <c r="BF181" s="2" t="s">
        <v>1285</v>
      </c>
      <c r="BJ181" s="2"/>
    </row>
    <row r="182" spans="1:62" ht="30" customHeight="1" x14ac:dyDescent="0.25">
      <c r="A182" s="1" t="s">
        <v>874</v>
      </c>
      <c r="B182" s="1" t="str">
        <f t="shared" si="2"/>
        <v>Orange,  Riverside,  San Diego</v>
      </c>
      <c r="C182" s="2"/>
      <c r="AF182" s="2" t="s">
        <v>1260</v>
      </c>
      <c r="AI182" s="2" t="s">
        <v>1263</v>
      </c>
      <c r="AM182" s="2" t="s">
        <v>1265</v>
      </c>
      <c r="BJ182" s="2"/>
    </row>
    <row r="183" spans="1:62" ht="30" customHeight="1" x14ac:dyDescent="0.25">
      <c r="A183" s="1" t="s">
        <v>893</v>
      </c>
      <c r="B183" s="1" t="str">
        <f t="shared" si="2"/>
        <v>Los Angeles,  Orange,  Riverside,  San Bernardino,  Ventura</v>
      </c>
      <c r="C183" s="2"/>
      <c r="U183" s="2" t="s">
        <v>1289</v>
      </c>
      <c r="AF183" s="2" t="s">
        <v>1260</v>
      </c>
      <c r="AI183" s="2" t="s">
        <v>1263</v>
      </c>
      <c r="AL183" s="2" t="s">
        <v>1264</v>
      </c>
      <c r="BF183" s="2" t="s">
        <v>1285</v>
      </c>
      <c r="BJ183" s="2"/>
    </row>
    <row r="184" spans="1:62" ht="30" customHeight="1" x14ac:dyDescent="0.25">
      <c r="A184" s="1" t="s">
        <v>491</v>
      </c>
      <c r="B184" s="1" t="str">
        <f t="shared" si="2"/>
        <v>Alameda,  Contra Costa,  Santa Clara,  Solano</v>
      </c>
      <c r="C184" s="2" t="s">
        <v>1236</v>
      </c>
      <c r="I184" s="2" t="s">
        <v>1245</v>
      </c>
      <c r="AS184" s="2" t="s">
        <v>1271</v>
      </c>
      <c r="AX184" s="2" t="s">
        <v>1277</v>
      </c>
      <c r="BJ184" s="2"/>
    </row>
    <row r="185" spans="1:62" ht="30" customHeight="1" x14ac:dyDescent="0.25">
      <c r="A185" s="1" t="s">
        <v>64</v>
      </c>
      <c r="B185" s="1" t="str">
        <f t="shared" si="2"/>
        <v>Alameda,  Contra Costa,  Marin,  San Francisco,  San Mateo,  Santa Clara</v>
      </c>
      <c r="C185" s="2" t="s">
        <v>1236</v>
      </c>
      <c r="I185" s="2" t="s">
        <v>1245</v>
      </c>
      <c r="W185" s="2" t="s">
        <v>988</v>
      </c>
      <c r="AN185" s="2" t="s">
        <v>1266</v>
      </c>
      <c r="AQ185" s="2" t="s">
        <v>1268</v>
      </c>
      <c r="AS185" s="2" t="s">
        <v>1271</v>
      </c>
      <c r="BJ185" s="2"/>
    </row>
    <row r="186" spans="1:62" ht="30" customHeight="1" x14ac:dyDescent="0.25">
      <c r="A186" s="1" t="s">
        <v>91</v>
      </c>
      <c r="B186" s="1" t="str">
        <f t="shared" si="2"/>
        <v>Alameda,  Contra Costa,  San Mateo,  Santa Clara,  Santa Cruz,  Sonoma</v>
      </c>
      <c r="C186" s="2" t="s">
        <v>1236</v>
      </c>
      <c r="I186" s="2" t="s">
        <v>1245</v>
      </c>
      <c r="AQ186" s="2" t="s">
        <v>1268</v>
      </c>
      <c r="AS186" s="2" t="s">
        <v>1271</v>
      </c>
      <c r="AT186" s="2" t="s">
        <v>1272</v>
      </c>
      <c r="AY186" s="2" t="s">
        <v>1278</v>
      </c>
      <c r="BJ186" s="2"/>
    </row>
    <row r="187" spans="1:62" ht="30" customHeight="1" x14ac:dyDescent="0.25">
      <c r="A187" s="1" t="s">
        <v>922</v>
      </c>
      <c r="B187" s="1" t="str">
        <f t="shared" si="2"/>
        <v>Tuolumne</v>
      </c>
      <c r="C187" s="2"/>
      <c r="BE187" s="2" t="s">
        <v>1284</v>
      </c>
      <c r="BJ187" s="2"/>
    </row>
    <row r="188" spans="1:62" ht="30" customHeight="1" x14ac:dyDescent="0.25">
      <c r="A188" s="1" t="s">
        <v>864</v>
      </c>
      <c r="B188" s="1" t="str">
        <f t="shared" si="2"/>
        <v>Marin,  Napa,  Sonoma</v>
      </c>
      <c r="C188" s="2"/>
      <c r="W188" s="2" t="s">
        <v>988</v>
      </c>
      <c r="AD188" s="2" t="s">
        <v>1258</v>
      </c>
      <c r="AY188" s="2" t="s">
        <v>1278</v>
      </c>
      <c r="BJ188" s="2"/>
    </row>
    <row r="189" spans="1:62" ht="30" customHeight="1" x14ac:dyDescent="0.25">
      <c r="A189" s="1" t="s">
        <v>897</v>
      </c>
      <c r="B189" s="1" t="str">
        <f t="shared" si="2"/>
        <v>Los Angeles,  Orange,  San Luis Obispo,  Ventura</v>
      </c>
      <c r="C189" s="2"/>
      <c r="U189" s="2" t="s">
        <v>1289</v>
      </c>
      <c r="AF189" s="2" t="s">
        <v>1260</v>
      </c>
      <c r="AP189" s="2" t="s">
        <v>1269</v>
      </c>
      <c r="BF189" s="2" t="s">
        <v>1285</v>
      </c>
      <c r="BJ189" s="2"/>
    </row>
    <row r="190" spans="1:62" ht="30" customHeight="1" x14ac:dyDescent="0.25">
      <c r="A190" s="1" t="s">
        <v>454</v>
      </c>
      <c r="B190"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90" s="2" t="s">
        <v>1236</v>
      </c>
      <c r="D190" s="2" t="s">
        <v>1237</v>
      </c>
      <c r="E190" s="2" t="s">
        <v>1238</v>
      </c>
      <c r="F190" s="2" t="s">
        <v>1239</v>
      </c>
      <c r="G190" s="2" t="s">
        <v>1240</v>
      </c>
      <c r="H190" s="2" t="s">
        <v>1244</v>
      </c>
      <c r="I190" s="2" t="s">
        <v>1245</v>
      </c>
      <c r="J190" s="2" t="s">
        <v>1291</v>
      </c>
      <c r="K190" s="2" t="s">
        <v>1241</v>
      </c>
      <c r="L190" s="2" t="s">
        <v>1242</v>
      </c>
      <c r="M190" s="2" t="s">
        <v>1243</v>
      </c>
      <c r="N190" s="2" t="s">
        <v>1246</v>
      </c>
      <c r="O190" s="2" t="s">
        <v>1247</v>
      </c>
      <c r="P190" s="2" t="s">
        <v>1248</v>
      </c>
      <c r="Q190" s="2" t="s">
        <v>1249</v>
      </c>
      <c r="R190" s="2" t="s">
        <v>1250</v>
      </c>
      <c r="S190" s="2" t="s">
        <v>1251</v>
      </c>
      <c r="T190" s="2" t="s">
        <v>1288</v>
      </c>
      <c r="U190" s="2" t="s">
        <v>1289</v>
      </c>
      <c r="V190" s="2" t="s">
        <v>1252</v>
      </c>
      <c r="W190" s="2" t="s">
        <v>988</v>
      </c>
      <c r="X190" s="2" t="s">
        <v>1253</v>
      </c>
      <c r="Y190" s="2" t="s">
        <v>1254</v>
      </c>
      <c r="Z190" s="2" t="s">
        <v>1255</v>
      </c>
      <c r="AA190" s="2" t="s">
        <v>1292</v>
      </c>
      <c r="AB190" s="2" t="s">
        <v>1256</v>
      </c>
      <c r="AC190" s="2" t="s">
        <v>1257</v>
      </c>
      <c r="AD190" s="2" t="s">
        <v>1258</v>
      </c>
      <c r="AE190" s="2" t="s">
        <v>1259</v>
      </c>
      <c r="AF190" s="2" t="s">
        <v>1260</v>
      </c>
      <c r="AG190" s="2" t="s">
        <v>1261</v>
      </c>
      <c r="AH190" s="2" t="s">
        <v>1262</v>
      </c>
      <c r="AI190" s="2" t="s">
        <v>1263</v>
      </c>
      <c r="AJ190" s="2" t="s">
        <v>1273</v>
      </c>
      <c r="AK190" s="2" t="s">
        <v>1290</v>
      </c>
      <c r="AL190" s="2" t="s">
        <v>1264</v>
      </c>
      <c r="AM190" s="2" t="s">
        <v>1265</v>
      </c>
      <c r="AN190" s="2" t="s">
        <v>1266</v>
      </c>
      <c r="AO190" s="2" t="s">
        <v>1267</v>
      </c>
      <c r="AP190" s="2" t="s">
        <v>1269</v>
      </c>
      <c r="AQ190" s="2" t="s">
        <v>1268</v>
      </c>
      <c r="AR190" s="2" t="s">
        <v>1270</v>
      </c>
      <c r="AS190" s="2" t="s">
        <v>1271</v>
      </c>
      <c r="AT190" s="2" t="s">
        <v>1272</v>
      </c>
      <c r="AU190" s="2" t="s">
        <v>1274</v>
      </c>
      <c r="AV190" s="2" t="s">
        <v>1275</v>
      </c>
      <c r="AW190" s="2" t="s">
        <v>1276</v>
      </c>
      <c r="AX190" s="2" t="s">
        <v>1277</v>
      </c>
      <c r="AY190" s="2" t="s">
        <v>1278</v>
      </c>
      <c r="AZ190" s="2" t="s">
        <v>1279</v>
      </c>
      <c r="BA190" s="2" t="s">
        <v>1280</v>
      </c>
      <c r="BB190" s="2" t="s">
        <v>1281</v>
      </c>
      <c r="BC190" s="2" t="s">
        <v>1282</v>
      </c>
      <c r="BD190" s="2" t="s">
        <v>1283</v>
      </c>
      <c r="BE190" s="2" t="s">
        <v>1284</v>
      </c>
      <c r="BF190" s="2" t="s">
        <v>1285</v>
      </c>
      <c r="BG190" s="2" t="s">
        <v>1286</v>
      </c>
      <c r="BH190" s="2" t="s">
        <v>1287</v>
      </c>
      <c r="BJ190" s="2"/>
    </row>
    <row r="191" spans="1:62" ht="30" customHeight="1" x14ac:dyDescent="0.25">
      <c r="A191" s="1" t="s">
        <v>905</v>
      </c>
      <c r="B191" s="1" t="str">
        <f t="shared" si="2"/>
        <v>Los Angeles,  Orange,  Riverside,  San Bernardino,  San Diego</v>
      </c>
      <c r="C191" s="2"/>
      <c r="U191" s="2" t="s">
        <v>1289</v>
      </c>
      <c r="AF191" s="2" t="s">
        <v>1260</v>
      </c>
      <c r="AI191" s="2" t="s">
        <v>1263</v>
      </c>
      <c r="AL191" s="2" t="s">
        <v>1264</v>
      </c>
      <c r="AM191" s="2" t="s">
        <v>1265</v>
      </c>
      <c r="BJ191" s="2"/>
    </row>
    <row r="192" spans="1:62" ht="30" customHeight="1" x14ac:dyDescent="0.25">
      <c r="A192" s="1" t="s">
        <v>953</v>
      </c>
      <c r="B192" s="1" t="str">
        <f t="shared" si="2"/>
        <v>Fresno,  Kern,  Kings,  Madera,  Mariposa,  Merced,  Tulare,  Ventura</v>
      </c>
      <c r="C192" s="2"/>
      <c r="L192" s="2" t="s">
        <v>1242</v>
      </c>
      <c r="Q192" s="2" t="s">
        <v>1249</v>
      </c>
      <c r="R192" s="2" t="s">
        <v>1250</v>
      </c>
      <c r="V192" s="2" t="s">
        <v>1252</v>
      </c>
      <c r="X192" s="2" t="s">
        <v>1253</v>
      </c>
      <c r="Z192" s="2" t="s">
        <v>1255</v>
      </c>
      <c r="BD192" s="2" t="s">
        <v>1283</v>
      </c>
      <c r="BF192" s="2" t="s">
        <v>1285</v>
      </c>
      <c r="BJ192" s="2"/>
    </row>
    <row r="193" spans="1:62" ht="30" customHeight="1" x14ac:dyDescent="0.25">
      <c r="A193" s="1" t="s">
        <v>106</v>
      </c>
      <c r="B193" s="1" t="str">
        <f t="shared" si="2"/>
        <v>Alameda,  Amador,  Contra Costa,  Fresno,  Kern,  Kings,  Los Angeles,  Marin,  Merced,  Napa,  Orange,  Riverside,  Sacramento,  San Bernardino,  San Diego,  San Francisco,  San Luis Obispo,  San Mateo,  Santa Barbara,  Santa Clara,  Santa Cruz,  Solano,  Sonoma,  Stanislaus,  Sutter,  Tulare,  Ventura,  Yolo</v>
      </c>
      <c r="C193" s="2" t="s">
        <v>1236</v>
      </c>
      <c r="E193" s="2" t="s">
        <v>1238</v>
      </c>
      <c r="I193" s="2" t="s">
        <v>1245</v>
      </c>
      <c r="L193" s="2" t="s">
        <v>1242</v>
      </c>
      <c r="Q193" s="2" t="s">
        <v>1249</v>
      </c>
      <c r="R193" s="2" t="s">
        <v>1250</v>
      </c>
      <c r="U193" s="2" t="s">
        <v>1289</v>
      </c>
      <c r="W193" s="2" t="s">
        <v>988</v>
      </c>
      <c r="Z193" s="2" t="s">
        <v>1255</v>
      </c>
      <c r="AD193" s="2" t="s">
        <v>1258</v>
      </c>
      <c r="AF193" s="2" t="s">
        <v>1260</v>
      </c>
      <c r="AI193" s="2" t="s">
        <v>1263</v>
      </c>
      <c r="AJ193" s="2" t="s">
        <v>1273</v>
      </c>
      <c r="AL193" s="2" t="s">
        <v>1264</v>
      </c>
      <c r="AM193" s="2" t="s">
        <v>1265</v>
      </c>
      <c r="AN193" s="2" t="s">
        <v>1266</v>
      </c>
      <c r="AP193" s="2" t="s">
        <v>1269</v>
      </c>
      <c r="AQ193" s="2" t="s">
        <v>1268</v>
      </c>
      <c r="AR193" s="2" t="s">
        <v>1270</v>
      </c>
      <c r="AS193" s="2" t="s">
        <v>1271</v>
      </c>
      <c r="AT193" s="2" t="s">
        <v>1272</v>
      </c>
      <c r="AX193" s="2" t="s">
        <v>1277</v>
      </c>
      <c r="AY193" s="2" t="s">
        <v>1278</v>
      </c>
      <c r="AZ193" s="2" t="s">
        <v>1279</v>
      </c>
      <c r="BA193" s="2" t="s">
        <v>1280</v>
      </c>
      <c r="BD193" s="2" t="s">
        <v>1283</v>
      </c>
      <c r="BF193" s="2" t="s">
        <v>1285</v>
      </c>
      <c r="BG193" s="2" t="s">
        <v>1286</v>
      </c>
      <c r="BJ193" s="2"/>
    </row>
    <row r="194" spans="1:62" ht="30" customHeight="1" x14ac:dyDescent="0.25">
      <c r="A194" s="1" t="s">
        <v>501</v>
      </c>
      <c r="B194" s="1" t="str">
        <f t="shared" ref="B194:B257" si="3">_xlfn.TEXTJOIN(",  ",TRUE,C194:BH194)</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94" s="2" t="s">
        <v>1236</v>
      </c>
      <c r="D194" s="2" t="s">
        <v>1237</v>
      </c>
      <c r="E194" s="2" t="s">
        <v>1238</v>
      </c>
      <c r="F194" s="2" t="s">
        <v>1239</v>
      </c>
      <c r="G194" s="2" t="s">
        <v>1240</v>
      </c>
      <c r="H194" s="2" t="s">
        <v>1244</v>
      </c>
      <c r="I194" s="2" t="s">
        <v>1245</v>
      </c>
      <c r="J194" s="2" t="s">
        <v>1291</v>
      </c>
      <c r="K194" s="2" t="s">
        <v>1241</v>
      </c>
      <c r="L194" s="2" t="s">
        <v>1242</v>
      </c>
      <c r="M194" s="2" t="s">
        <v>1243</v>
      </c>
      <c r="N194" s="2" t="s">
        <v>1246</v>
      </c>
      <c r="O194" s="2" t="s">
        <v>1247</v>
      </c>
      <c r="P194" s="2" t="s">
        <v>1248</v>
      </c>
      <c r="Q194" s="2" t="s">
        <v>1249</v>
      </c>
      <c r="R194" s="2" t="s">
        <v>1250</v>
      </c>
      <c r="S194" s="2" t="s">
        <v>1251</v>
      </c>
      <c r="T194" s="2" t="s">
        <v>1288</v>
      </c>
      <c r="U194" s="2" t="s">
        <v>1289</v>
      </c>
      <c r="V194" s="2" t="s">
        <v>1252</v>
      </c>
      <c r="W194" s="2" t="s">
        <v>988</v>
      </c>
      <c r="X194" s="2" t="s">
        <v>1253</v>
      </c>
      <c r="Y194" s="2" t="s">
        <v>1254</v>
      </c>
      <c r="Z194" s="2" t="s">
        <v>1255</v>
      </c>
      <c r="AA194" s="2" t="s">
        <v>1292</v>
      </c>
      <c r="AB194" s="2" t="s">
        <v>1256</v>
      </c>
      <c r="AC194" s="2" t="s">
        <v>1257</v>
      </c>
      <c r="AD194" s="2" t="s">
        <v>1258</v>
      </c>
      <c r="AE194" s="2" t="s">
        <v>1259</v>
      </c>
      <c r="AF194" s="2" t="s">
        <v>1260</v>
      </c>
      <c r="AG194" s="2" t="s">
        <v>1261</v>
      </c>
      <c r="AH194" s="2" t="s">
        <v>1262</v>
      </c>
      <c r="AI194" s="2" t="s">
        <v>1263</v>
      </c>
      <c r="AJ194" s="2" t="s">
        <v>1273</v>
      </c>
      <c r="AK194" s="2" t="s">
        <v>1290</v>
      </c>
      <c r="AL194" s="2" t="s">
        <v>1264</v>
      </c>
      <c r="AM194" s="2" t="s">
        <v>1265</v>
      </c>
      <c r="AN194" s="2" t="s">
        <v>1266</v>
      </c>
      <c r="AO194" s="2" t="s">
        <v>1267</v>
      </c>
      <c r="AP194" s="2" t="s">
        <v>1269</v>
      </c>
      <c r="AQ194" s="2" t="s">
        <v>1268</v>
      </c>
      <c r="AR194" s="2" t="s">
        <v>1270</v>
      </c>
      <c r="AS194" s="2" t="s">
        <v>1271</v>
      </c>
      <c r="AT194" s="2" t="s">
        <v>1272</v>
      </c>
      <c r="AU194" s="2" t="s">
        <v>1274</v>
      </c>
      <c r="AV194" s="2" t="s">
        <v>1275</v>
      </c>
      <c r="AW194" s="2" t="s">
        <v>1276</v>
      </c>
      <c r="AX194" s="2" t="s">
        <v>1277</v>
      </c>
      <c r="AY194" s="2" t="s">
        <v>1278</v>
      </c>
      <c r="AZ194" s="2" t="s">
        <v>1279</v>
      </c>
      <c r="BA194" s="2" t="s">
        <v>1280</v>
      </c>
      <c r="BB194" s="2" t="s">
        <v>1281</v>
      </c>
      <c r="BC194" s="2" t="s">
        <v>1282</v>
      </c>
      <c r="BD194" s="2" t="s">
        <v>1283</v>
      </c>
      <c r="BE194" s="2" t="s">
        <v>1284</v>
      </c>
      <c r="BF194" s="2" t="s">
        <v>1285</v>
      </c>
      <c r="BG194" s="2" t="s">
        <v>1286</v>
      </c>
      <c r="BH194" s="2" t="s">
        <v>1287</v>
      </c>
      <c r="BJ194" s="2"/>
    </row>
    <row r="195" spans="1:62" ht="30" customHeight="1" x14ac:dyDescent="0.25">
      <c r="A195" s="1" t="s">
        <v>891</v>
      </c>
      <c r="B195" s="1" t="str">
        <f t="shared" si="3"/>
        <v>Mono,  San Diego</v>
      </c>
      <c r="C195" s="2"/>
      <c r="AB195" s="2" t="s">
        <v>1256</v>
      </c>
      <c r="AM195" s="2" t="s">
        <v>1265</v>
      </c>
      <c r="BJ195" s="2"/>
    </row>
    <row r="196" spans="1:62" ht="30" customHeight="1" x14ac:dyDescent="0.25">
      <c r="A196" s="1" t="s">
        <v>96</v>
      </c>
      <c r="B196" s="1" t="str">
        <f t="shared" si="3"/>
        <v>Alameda,  Alpine,  Amador,  Butte,  Calaveras,  Colusa,  Contra Costa,  El Dorado,  Fresno,  Glenn,  Kern,  Lake,  Madera,  Marin,  Mariposa,  Mendocino,  Merced,  Napa,  Nevada,  Placer,  Plumas,  Sacramento,  San Joaquin,  San Mateo,  Santa Clara,  Shasta,  Sierra,  Solano,  Sonoma,  Stanislaus,  Sutter,  Tuolumne,  Yolo,  Yuba</v>
      </c>
      <c r="C196" s="2" t="s">
        <v>1236</v>
      </c>
      <c r="D196" s="2" t="s">
        <v>1237</v>
      </c>
      <c r="E196" s="2" t="s">
        <v>1238</v>
      </c>
      <c r="F196" s="2" t="s">
        <v>1239</v>
      </c>
      <c r="G196" s="2" t="s">
        <v>1240</v>
      </c>
      <c r="H196" s="2" t="s">
        <v>1244</v>
      </c>
      <c r="I196" s="2" t="s">
        <v>1245</v>
      </c>
      <c r="K196" s="2" t="s">
        <v>1241</v>
      </c>
      <c r="L196" s="2" t="s">
        <v>1242</v>
      </c>
      <c r="M196" s="2" t="s">
        <v>1243</v>
      </c>
      <c r="Q196" s="2" t="s">
        <v>1249</v>
      </c>
      <c r="S196" s="2" t="s">
        <v>1251</v>
      </c>
      <c r="V196" s="2" t="s">
        <v>1252</v>
      </c>
      <c r="W196" s="2" t="s">
        <v>988</v>
      </c>
      <c r="X196" s="2" t="s">
        <v>1253</v>
      </c>
      <c r="Y196" s="2" t="s">
        <v>1254</v>
      </c>
      <c r="Z196" s="2" t="s">
        <v>1255</v>
      </c>
      <c r="AD196" s="2" t="s">
        <v>1258</v>
      </c>
      <c r="AE196" s="2" t="s">
        <v>1259</v>
      </c>
      <c r="AG196" s="2" t="s">
        <v>1261</v>
      </c>
      <c r="AH196" s="2" t="s">
        <v>1262</v>
      </c>
      <c r="AJ196" s="2" t="s">
        <v>1273</v>
      </c>
      <c r="AO196" s="2" t="s">
        <v>1267</v>
      </c>
      <c r="AQ196" s="2" t="s">
        <v>1268</v>
      </c>
      <c r="AS196" s="2" t="s">
        <v>1271</v>
      </c>
      <c r="AU196" s="2" t="s">
        <v>1274</v>
      </c>
      <c r="AV196" s="2" t="s">
        <v>1275</v>
      </c>
      <c r="AX196" s="2" t="s">
        <v>1277</v>
      </c>
      <c r="AY196" s="2" t="s">
        <v>1278</v>
      </c>
      <c r="AZ196" s="2" t="s">
        <v>1279</v>
      </c>
      <c r="BA196" s="2" t="s">
        <v>1280</v>
      </c>
      <c r="BE196" s="2" t="s">
        <v>1284</v>
      </c>
      <c r="BG196" s="2" t="s">
        <v>1286</v>
      </c>
      <c r="BH196" s="2" t="s">
        <v>1287</v>
      </c>
      <c r="BJ196" s="2"/>
    </row>
    <row r="197" spans="1:62" ht="30" customHeight="1" x14ac:dyDescent="0.25">
      <c r="A197" s="1" t="s">
        <v>861</v>
      </c>
      <c r="B197" s="1" t="str">
        <f t="shared" si="3"/>
        <v>Los Angeles,  Orange,  San Bernardino,  San Luis Obispo,  Santa Barbara,  Ventura</v>
      </c>
      <c r="C197" s="2"/>
      <c r="U197" s="2" t="s">
        <v>1289</v>
      </c>
      <c r="AF197" s="2" t="s">
        <v>1260</v>
      </c>
      <c r="AL197" s="2" t="s">
        <v>1264</v>
      </c>
      <c r="AP197" s="2" t="s">
        <v>1269</v>
      </c>
      <c r="AR197" s="2" t="s">
        <v>1270</v>
      </c>
      <c r="BF197" s="2" t="s">
        <v>1285</v>
      </c>
      <c r="BJ197" s="2"/>
    </row>
    <row r="198" spans="1:62" ht="30" customHeight="1" x14ac:dyDescent="0.25">
      <c r="A198" s="1" t="s">
        <v>244</v>
      </c>
      <c r="B198" s="1" t="str">
        <f t="shared" si="3"/>
        <v>Alpine,  Fresno,  Imperial,  Kern,  Kings,  Los Angeles,  Monterey,  Napa,  Orange,  Riverside,  San Bernardino,  San Diego,  San Joaquin,  San Luis Obispo,  Santa Barbara,  Santa Cruz,  Sonoma,  Tulare,  Ventura</v>
      </c>
      <c r="C198" s="2"/>
      <c r="D198" s="2" t="s">
        <v>1237</v>
      </c>
      <c r="L198" s="2" t="s">
        <v>1242</v>
      </c>
      <c r="O198" s="2" t="s">
        <v>1247</v>
      </c>
      <c r="Q198" s="2" t="s">
        <v>1249</v>
      </c>
      <c r="R198" s="2" t="s">
        <v>1250</v>
      </c>
      <c r="U198" s="2" t="s">
        <v>1289</v>
      </c>
      <c r="AC198" s="2" t="s">
        <v>1257</v>
      </c>
      <c r="AD198" s="2" t="s">
        <v>1258</v>
      </c>
      <c r="AF198" s="2" t="s">
        <v>1260</v>
      </c>
      <c r="AI198" s="2" t="s">
        <v>1263</v>
      </c>
      <c r="AL198" s="2" t="s">
        <v>1264</v>
      </c>
      <c r="AM198" s="2" t="s">
        <v>1265</v>
      </c>
      <c r="AO198" s="2" t="s">
        <v>1267</v>
      </c>
      <c r="AP198" s="2" t="s">
        <v>1269</v>
      </c>
      <c r="AR198" s="2" t="s">
        <v>1270</v>
      </c>
      <c r="AT198" s="2" t="s">
        <v>1272</v>
      </c>
      <c r="AY198" s="2" t="s">
        <v>1278</v>
      </c>
      <c r="BD198" s="2" t="s">
        <v>1283</v>
      </c>
      <c r="BF198" s="2" t="s">
        <v>1285</v>
      </c>
      <c r="BJ198" s="2"/>
    </row>
    <row r="199" spans="1:62" ht="30" customHeight="1" x14ac:dyDescent="0.25">
      <c r="A199" s="1" t="s">
        <v>318</v>
      </c>
      <c r="B199" s="1" t="str">
        <f t="shared" si="3"/>
        <v>Marin,  Napa,  Sonoma</v>
      </c>
      <c r="C199" s="2"/>
      <c r="W199" s="2" t="s">
        <v>988</v>
      </c>
      <c r="AD199" s="2" t="s">
        <v>1258</v>
      </c>
      <c r="AY199" s="2" t="s">
        <v>1278</v>
      </c>
      <c r="BJ199" s="2"/>
    </row>
    <row r="200" spans="1:62" ht="30" customHeight="1" x14ac:dyDescent="0.25">
      <c r="A200" s="1" t="s">
        <v>862</v>
      </c>
      <c r="B200" s="1" t="str">
        <f t="shared" si="3"/>
        <v>San Diego</v>
      </c>
      <c r="C200" s="2"/>
      <c r="AM200" s="2" t="s">
        <v>1265</v>
      </c>
      <c r="BJ200" s="2"/>
    </row>
    <row r="201" spans="1:62" ht="30" customHeight="1" x14ac:dyDescent="0.25">
      <c r="A201" s="1" t="s">
        <v>476</v>
      </c>
      <c r="B201" s="1" t="str">
        <f t="shared" si="3"/>
        <v>Riverside,  San Bernardino,  San Diego</v>
      </c>
      <c r="C201" s="2"/>
      <c r="AI201" s="2" t="s">
        <v>1263</v>
      </c>
      <c r="AL201" s="2" t="s">
        <v>1264</v>
      </c>
      <c r="AM201" s="2" t="s">
        <v>1265</v>
      </c>
      <c r="BJ201" s="2"/>
    </row>
    <row r="202" spans="1:62" ht="30" customHeight="1" x14ac:dyDescent="0.25">
      <c r="A202" s="1" t="s">
        <v>160</v>
      </c>
      <c r="B202" s="1" t="str">
        <f t="shared" si="3"/>
        <v>Amador,  El Dorado,  Nevada,  Placer,  Sacramento,  Sutter,  Yuba</v>
      </c>
      <c r="C202" s="2"/>
      <c r="E202" s="2" t="s">
        <v>1238</v>
      </c>
      <c r="K202" s="2" t="s">
        <v>1241</v>
      </c>
      <c r="AE202" s="2" t="s">
        <v>1259</v>
      </c>
      <c r="AG202" s="2" t="s">
        <v>1261</v>
      </c>
      <c r="AJ202" s="2" t="s">
        <v>1273</v>
      </c>
      <c r="BA202" s="2" t="s">
        <v>1280</v>
      </c>
      <c r="BH202" s="2" t="s">
        <v>1287</v>
      </c>
      <c r="BJ202" s="2"/>
    </row>
    <row r="203" spans="1:62" ht="30" customHeight="1" x14ac:dyDescent="0.25">
      <c r="A203" s="1" t="s">
        <v>420</v>
      </c>
      <c r="B203" s="1" t="str">
        <f t="shared" si="3"/>
        <v>San Luis Obispo,  Santa Barbara</v>
      </c>
      <c r="C203" s="2"/>
      <c r="AP203" s="2" t="s">
        <v>1269</v>
      </c>
      <c r="AR203" s="2" t="s">
        <v>1270</v>
      </c>
      <c r="BJ203" s="2"/>
    </row>
    <row r="204" spans="1:62" ht="30" customHeight="1" x14ac:dyDescent="0.25">
      <c r="A204" s="1" t="s">
        <v>227</v>
      </c>
      <c r="B204" s="1" t="str">
        <f t="shared" si="3"/>
        <v>Alameda,  Contra Costa,  Marin,  Napa,  Sacramento,  San Joaquin,  Santa Clara,  Solano,  Sonoma,  Stanislaus,  Yolo</v>
      </c>
      <c r="C204" s="2" t="s">
        <v>1236</v>
      </c>
      <c r="I204" s="2" t="s">
        <v>1245</v>
      </c>
      <c r="W204" s="2" t="s">
        <v>988</v>
      </c>
      <c r="AD204" s="2" t="s">
        <v>1258</v>
      </c>
      <c r="AJ204" s="2" t="s">
        <v>1273</v>
      </c>
      <c r="AO204" s="2" t="s">
        <v>1267</v>
      </c>
      <c r="AS204" s="2" t="s">
        <v>1271</v>
      </c>
      <c r="AX204" s="2" t="s">
        <v>1277</v>
      </c>
      <c r="AY204" s="2" t="s">
        <v>1278</v>
      </c>
      <c r="AZ204" s="2" t="s">
        <v>1279</v>
      </c>
      <c r="BG204" s="2" t="s">
        <v>1286</v>
      </c>
      <c r="BJ204" s="2"/>
    </row>
    <row r="205" spans="1:62" ht="30" customHeight="1" x14ac:dyDescent="0.25">
      <c r="A205" s="1" t="s">
        <v>950</v>
      </c>
      <c r="B205" s="1" t="str">
        <f t="shared" si="3"/>
        <v>Fresno,  Kern,  Kings,  Madera,  Mariposa,  Merced,  San Benito,  San Joaquin,  San Luis Obispo,  Tulare,  Tuolumne</v>
      </c>
      <c r="C205" s="2"/>
      <c r="L205" s="2" t="s">
        <v>1242</v>
      </c>
      <c r="Q205" s="2" t="s">
        <v>1249</v>
      </c>
      <c r="R205" s="2" t="s">
        <v>1250</v>
      </c>
      <c r="V205" s="2" t="s">
        <v>1252</v>
      </c>
      <c r="X205" s="2" t="s">
        <v>1253</v>
      </c>
      <c r="Z205" s="2" t="s">
        <v>1255</v>
      </c>
      <c r="AK205" s="2" t="s">
        <v>1290</v>
      </c>
      <c r="AO205" s="2" t="s">
        <v>1267</v>
      </c>
      <c r="AP205" s="2" t="s">
        <v>1269</v>
      </c>
      <c r="BD205" s="2" t="s">
        <v>1283</v>
      </c>
      <c r="BE205" s="2" t="s">
        <v>1284</v>
      </c>
      <c r="BJ205" s="2"/>
    </row>
    <row r="206" spans="1:62" ht="30" customHeight="1" x14ac:dyDescent="0.25">
      <c r="A206" s="1" t="s">
        <v>556</v>
      </c>
      <c r="B206" s="1" t="str">
        <f t="shared" si="3"/>
        <v>Alameda,  Contra Costa,  Marin,  Mendocino,  Napa,  Sonoma</v>
      </c>
      <c r="C206" s="2" t="s">
        <v>1236</v>
      </c>
      <c r="I206" s="2" t="s">
        <v>1245</v>
      </c>
      <c r="W206" s="2" t="s">
        <v>988</v>
      </c>
      <c r="Y206" s="2" t="s">
        <v>1254</v>
      </c>
      <c r="AD206" s="2" t="s">
        <v>1258</v>
      </c>
      <c r="AY206" s="2" t="s">
        <v>1278</v>
      </c>
      <c r="BJ206" s="2"/>
    </row>
    <row r="207" spans="1:62" ht="30" customHeight="1" x14ac:dyDescent="0.25">
      <c r="A207" s="1" t="s">
        <v>894</v>
      </c>
      <c r="B207" s="1" t="str">
        <f t="shared" si="3"/>
        <v>Alameda,  Butte,  Calaveras,  Colusa,  Contra Costa,  El Dorado,  Fresno,  Kern,  Kings,  Lake,  Lassen,  Madera,  Marin,  Mariposa,  Merced,  Monterey,  Napa,  Nevada,  Placer,  Sacramento,  San Benito,  San Francisco,  San Joaquin,  San Luis Obispo,  San Mateo,  Santa Clara,  Santa Cruz,  Shasta,  Solano,  Sonoma,  Stanislaus,  Sutter,  Tulare,  Tuolumne,  Yolo,  Yuba</v>
      </c>
      <c r="C207" s="2" t="s">
        <v>1236</v>
      </c>
      <c r="F207" s="2" t="s">
        <v>1239</v>
      </c>
      <c r="G207" s="2" t="s">
        <v>1240</v>
      </c>
      <c r="H207" s="2" t="s">
        <v>1244</v>
      </c>
      <c r="I207" s="2" t="s">
        <v>1245</v>
      </c>
      <c r="K207" s="2" t="s">
        <v>1241</v>
      </c>
      <c r="L207" s="2" t="s">
        <v>1242</v>
      </c>
      <c r="Q207" s="2" t="s">
        <v>1249</v>
      </c>
      <c r="R207" s="2" t="s">
        <v>1250</v>
      </c>
      <c r="S207" s="2" t="s">
        <v>1251</v>
      </c>
      <c r="T207" s="2" t="s">
        <v>1288</v>
      </c>
      <c r="V207" s="2" t="s">
        <v>1252</v>
      </c>
      <c r="W207" s="2" t="s">
        <v>988</v>
      </c>
      <c r="X207" s="2" t="s">
        <v>1253</v>
      </c>
      <c r="Z207" s="2" t="s">
        <v>1255</v>
      </c>
      <c r="AC207" s="2" t="s">
        <v>1257</v>
      </c>
      <c r="AD207" s="2" t="s">
        <v>1258</v>
      </c>
      <c r="AE207" s="2" t="s">
        <v>1259</v>
      </c>
      <c r="AG207" s="2" t="s">
        <v>1261</v>
      </c>
      <c r="AJ207" s="2" t="s">
        <v>1273</v>
      </c>
      <c r="AK207" s="2" t="s">
        <v>1290</v>
      </c>
      <c r="AN207" s="2" t="s">
        <v>1266</v>
      </c>
      <c r="AO207" s="2" t="s">
        <v>1267</v>
      </c>
      <c r="AP207" s="2" t="s">
        <v>1269</v>
      </c>
      <c r="AQ207" s="2" t="s">
        <v>1268</v>
      </c>
      <c r="AS207" s="2" t="s">
        <v>1271</v>
      </c>
      <c r="AT207" s="2" t="s">
        <v>1272</v>
      </c>
      <c r="AU207" s="2" t="s">
        <v>1274</v>
      </c>
      <c r="AX207" s="2" t="s">
        <v>1277</v>
      </c>
      <c r="AY207" s="2" t="s">
        <v>1278</v>
      </c>
      <c r="AZ207" s="2" t="s">
        <v>1279</v>
      </c>
      <c r="BA207" s="2" t="s">
        <v>1280</v>
      </c>
      <c r="BD207" s="2" t="s">
        <v>1283</v>
      </c>
      <c r="BE207" s="2" t="s">
        <v>1284</v>
      </c>
      <c r="BG207" s="2" t="s">
        <v>1286</v>
      </c>
      <c r="BH207" s="2" t="s">
        <v>1287</v>
      </c>
      <c r="BJ207" s="2"/>
    </row>
    <row r="208" spans="1:62" ht="30" customHeight="1" x14ac:dyDescent="0.25">
      <c r="A208" s="1" t="s">
        <v>582</v>
      </c>
      <c r="B208" s="1" t="str">
        <f t="shared" si="3"/>
        <v>Orange,  Riverside,  San Bernardino,  San Diego</v>
      </c>
      <c r="C208" s="2"/>
      <c r="AF208" s="2" t="s">
        <v>1260</v>
      </c>
      <c r="AI208" s="2" t="s">
        <v>1263</v>
      </c>
      <c r="AL208" s="2" t="s">
        <v>1264</v>
      </c>
      <c r="AM208" s="2" t="s">
        <v>1265</v>
      </c>
      <c r="BJ208" s="2"/>
    </row>
    <row r="209" spans="1:62" ht="30" customHeight="1" x14ac:dyDescent="0.25">
      <c r="A209" s="1" t="s">
        <v>333</v>
      </c>
      <c r="B209" s="1" t="str">
        <f t="shared" si="3"/>
        <v>Alameda,  Contra Costa,  Lake,  Marin,  Mendocino,  Napa,  Solano,  Sonoma,  Yolo</v>
      </c>
      <c r="C209" s="2" t="s">
        <v>1236</v>
      </c>
      <c r="I209" s="2" t="s">
        <v>1245</v>
      </c>
      <c r="S209" s="2" t="s">
        <v>1251</v>
      </c>
      <c r="W209" s="2" t="s">
        <v>988</v>
      </c>
      <c r="Y209" s="2" t="s">
        <v>1254</v>
      </c>
      <c r="AD209" s="2" t="s">
        <v>1258</v>
      </c>
      <c r="AX209" s="2" t="s">
        <v>1277</v>
      </c>
      <c r="AY209" s="2" t="s">
        <v>1278</v>
      </c>
      <c r="BG209" s="2" t="s">
        <v>1286</v>
      </c>
      <c r="BJ209" s="2"/>
    </row>
    <row r="210" spans="1:62" ht="30" customHeight="1" x14ac:dyDescent="0.25">
      <c r="A210" s="1" t="s">
        <v>129</v>
      </c>
      <c r="B210" s="1" t="str">
        <f t="shared" si="3"/>
        <v>Imperial,  Los Angeles,  Orange,  Riverside,  San Bernardino,  San Diego</v>
      </c>
      <c r="C210" s="2"/>
      <c r="O210" s="2" t="s">
        <v>1247</v>
      </c>
      <c r="U210" s="2" t="s">
        <v>1289</v>
      </c>
      <c r="AF210" s="2" t="s">
        <v>1260</v>
      </c>
      <c r="AI210" s="2" t="s">
        <v>1263</v>
      </c>
      <c r="AL210" s="2" t="s">
        <v>1264</v>
      </c>
      <c r="AM210" s="2" t="s">
        <v>1265</v>
      </c>
      <c r="BJ210" s="2"/>
    </row>
    <row r="211" spans="1:62" ht="30" customHeight="1" x14ac:dyDescent="0.25">
      <c r="A211" s="1" t="s">
        <v>102</v>
      </c>
      <c r="B211"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11" s="2" t="s">
        <v>1236</v>
      </c>
      <c r="D211" s="2" t="s">
        <v>1237</v>
      </c>
      <c r="E211" s="2" t="s">
        <v>1238</v>
      </c>
      <c r="F211" s="2" t="s">
        <v>1239</v>
      </c>
      <c r="G211" s="2" t="s">
        <v>1240</v>
      </c>
      <c r="H211" s="2" t="s">
        <v>1244</v>
      </c>
      <c r="I211" s="2" t="s">
        <v>1245</v>
      </c>
      <c r="J211" s="2" t="s">
        <v>1291</v>
      </c>
      <c r="K211" s="2" t="s">
        <v>1241</v>
      </c>
      <c r="L211" s="2" t="s">
        <v>1242</v>
      </c>
      <c r="M211" s="2" t="s">
        <v>1243</v>
      </c>
      <c r="N211" s="2" t="s">
        <v>1246</v>
      </c>
      <c r="O211" s="2" t="s">
        <v>1247</v>
      </c>
      <c r="P211" s="2" t="s">
        <v>1248</v>
      </c>
      <c r="Q211" s="2" t="s">
        <v>1249</v>
      </c>
      <c r="R211" s="2" t="s">
        <v>1250</v>
      </c>
      <c r="S211" s="2" t="s">
        <v>1251</v>
      </c>
      <c r="T211" s="2" t="s">
        <v>1288</v>
      </c>
      <c r="U211" s="2" t="s">
        <v>1289</v>
      </c>
      <c r="V211" s="2" t="s">
        <v>1252</v>
      </c>
      <c r="W211" s="2" t="s">
        <v>988</v>
      </c>
      <c r="X211" s="2" t="s">
        <v>1253</v>
      </c>
      <c r="Y211" s="2" t="s">
        <v>1254</v>
      </c>
      <c r="Z211" s="2" t="s">
        <v>1255</v>
      </c>
      <c r="AA211" s="2" t="s">
        <v>1292</v>
      </c>
      <c r="AB211" s="2" t="s">
        <v>1256</v>
      </c>
      <c r="AC211" s="2" t="s">
        <v>1257</v>
      </c>
      <c r="AD211" s="2" t="s">
        <v>1258</v>
      </c>
      <c r="AE211" s="2" t="s">
        <v>1259</v>
      </c>
      <c r="AF211" s="2" t="s">
        <v>1260</v>
      </c>
      <c r="AG211" s="2" t="s">
        <v>1261</v>
      </c>
      <c r="AH211" s="2" t="s">
        <v>1262</v>
      </c>
      <c r="AI211" s="2" t="s">
        <v>1263</v>
      </c>
      <c r="AJ211" s="2" t="s">
        <v>1273</v>
      </c>
      <c r="AK211" s="2" t="s">
        <v>1290</v>
      </c>
      <c r="AL211" s="2" t="s">
        <v>1264</v>
      </c>
      <c r="AM211" s="2" t="s">
        <v>1265</v>
      </c>
      <c r="AN211" s="2" t="s">
        <v>1266</v>
      </c>
      <c r="AO211" s="2" t="s">
        <v>1267</v>
      </c>
      <c r="AP211" s="2" t="s">
        <v>1269</v>
      </c>
      <c r="AQ211" s="2" t="s">
        <v>1268</v>
      </c>
      <c r="AR211" s="2" t="s">
        <v>1270</v>
      </c>
      <c r="AS211" s="2" t="s">
        <v>1271</v>
      </c>
      <c r="AT211" s="2" t="s">
        <v>1272</v>
      </c>
      <c r="AU211" s="2" t="s">
        <v>1274</v>
      </c>
      <c r="AV211" s="2" t="s">
        <v>1275</v>
      </c>
      <c r="AW211" s="2" t="s">
        <v>1276</v>
      </c>
      <c r="AX211" s="2" t="s">
        <v>1277</v>
      </c>
      <c r="AY211" s="2" t="s">
        <v>1278</v>
      </c>
      <c r="AZ211" s="2" t="s">
        <v>1279</v>
      </c>
      <c r="BA211" s="2" t="s">
        <v>1280</v>
      </c>
      <c r="BB211" s="2" t="s">
        <v>1281</v>
      </c>
      <c r="BC211" s="2" t="s">
        <v>1282</v>
      </c>
      <c r="BD211" s="2" t="s">
        <v>1283</v>
      </c>
      <c r="BE211" s="2" t="s">
        <v>1284</v>
      </c>
      <c r="BF211" s="2" t="s">
        <v>1285</v>
      </c>
      <c r="BG211" s="2" t="s">
        <v>1286</v>
      </c>
      <c r="BH211" s="2" t="s">
        <v>1287</v>
      </c>
      <c r="BJ211" s="2"/>
    </row>
    <row r="212" spans="1:62" ht="30" customHeight="1" x14ac:dyDescent="0.25">
      <c r="A212" s="1" t="s">
        <v>901</v>
      </c>
      <c r="B212"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12" s="2" t="s">
        <v>1236</v>
      </c>
      <c r="D212" s="2" t="s">
        <v>1237</v>
      </c>
      <c r="E212" s="2" t="s">
        <v>1238</v>
      </c>
      <c r="F212" s="2" t="s">
        <v>1239</v>
      </c>
      <c r="G212" s="2" t="s">
        <v>1240</v>
      </c>
      <c r="H212" s="2" t="s">
        <v>1244</v>
      </c>
      <c r="I212" s="2" t="s">
        <v>1245</v>
      </c>
      <c r="J212" s="2" t="s">
        <v>1291</v>
      </c>
      <c r="K212" s="2" t="s">
        <v>1241</v>
      </c>
      <c r="L212" s="2" t="s">
        <v>1242</v>
      </c>
      <c r="M212" s="2" t="s">
        <v>1243</v>
      </c>
      <c r="N212" s="2" t="s">
        <v>1246</v>
      </c>
      <c r="O212" s="2" t="s">
        <v>1247</v>
      </c>
      <c r="P212" s="2" t="s">
        <v>1248</v>
      </c>
      <c r="Q212" s="2" t="s">
        <v>1249</v>
      </c>
      <c r="R212" s="2" t="s">
        <v>1250</v>
      </c>
      <c r="S212" s="2" t="s">
        <v>1251</v>
      </c>
      <c r="T212" s="2" t="s">
        <v>1288</v>
      </c>
      <c r="U212" s="2" t="s">
        <v>1289</v>
      </c>
      <c r="V212" s="2" t="s">
        <v>1252</v>
      </c>
      <c r="W212" s="2" t="s">
        <v>988</v>
      </c>
      <c r="X212" s="2" t="s">
        <v>1253</v>
      </c>
      <c r="Y212" s="2" t="s">
        <v>1254</v>
      </c>
      <c r="Z212" s="2" t="s">
        <v>1255</v>
      </c>
      <c r="AA212" s="2" t="s">
        <v>1292</v>
      </c>
      <c r="AB212" s="2" t="s">
        <v>1256</v>
      </c>
      <c r="AC212" s="2" t="s">
        <v>1257</v>
      </c>
      <c r="AD212" s="2" t="s">
        <v>1258</v>
      </c>
      <c r="AE212" s="2" t="s">
        <v>1259</v>
      </c>
      <c r="AF212" s="2" t="s">
        <v>1260</v>
      </c>
      <c r="AG212" s="2" t="s">
        <v>1261</v>
      </c>
      <c r="AH212" s="2" t="s">
        <v>1262</v>
      </c>
      <c r="AI212" s="2" t="s">
        <v>1263</v>
      </c>
      <c r="AJ212" s="2" t="s">
        <v>1273</v>
      </c>
      <c r="AK212" s="2" t="s">
        <v>1290</v>
      </c>
      <c r="AL212" s="2" t="s">
        <v>1264</v>
      </c>
      <c r="AM212" s="2" t="s">
        <v>1265</v>
      </c>
      <c r="AN212" s="2" t="s">
        <v>1266</v>
      </c>
      <c r="AO212" s="2" t="s">
        <v>1267</v>
      </c>
      <c r="AP212" s="2" t="s">
        <v>1269</v>
      </c>
      <c r="AQ212" s="2" t="s">
        <v>1268</v>
      </c>
      <c r="AR212" s="2" t="s">
        <v>1270</v>
      </c>
      <c r="AS212" s="2" t="s">
        <v>1271</v>
      </c>
      <c r="AT212" s="2" t="s">
        <v>1272</v>
      </c>
      <c r="AU212" s="2" t="s">
        <v>1274</v>
      </c>
      <c r="AV212" s="2" t="s">
        <v>1275</v>
      </c>
      <c r="AW212" s="2" t="s">
        <v>1276</v>
      </c>
      <c r="AX212" s="2" t="s">
        <v>1277</v>
      </c>
      <c r="AY212" s="2" t="s">
        <v>1278</v>
      </c>
      <c r="AZ212" s="2" t="s">
        <v>1279</v>
      </c>
      <c r="BA212" s="2" t="s">
        <v>1280</v>
      </c>
      <c r="BB212" s="2" t="s">
        <v>1281</v>
      </c>
      <c r="BC212" s="2" t="s">
        <v>1282</v>
      </c>
      <c r="BD212" s="2" t="s">
        <v>1283</v>
      </c>
      <c r="BE212" s="2" t="s">
        <v>1284</v>
      </c>
      <c r="BF212" s="2" t="s">
        <v>1285</v>
      </c>
      <c r="BG212" s="2" t="s">
        <v>1286</v>
      </c>
      <c r="BH212" s="2" t="s">
        <v>1287</v>
      </c>
      <c r="BJ212" s="2"/>
    </row>
    <row r="213" spans="1:62" ht="30" customHeight="1" x14ac:dyDescent="0.25">
      <c r="A213" s="1" t="s">
        <v>337</v>
      </c>
      <c r="B213" s="1" t="str">
        <f t="shared" si="3"/>
        <v>Alameda,  Contra Costa,  Marin,  Napa,  Sacramento,  San Benito,  San Francisco,  San Joaquin,  San Mateo,  Santa Clara,  Santa Cruz,  Sonoma</v>
      </c>
      <c r="C213" s="2" t="s">
        <v>1236</v>
      </c>
      <c r="I213" s="2" t="s">
        <v>1245</v>
      </c>
      <c r="W213" s="2" t="s">
        <v>988</v>
      </c>
      <c r="AD213" s="2" t="s">
        <v>1258</v>
      </c>
      <c r="AJ213" s="2" t="s">
        <v>1273</v>
      </c>
      <c r="AK213" s="2" t="s">
        <v>1290</v>
      </c>
      <c r="AN213" s="2" t="s">
        <v>1266</v>
      </c>
      <c r="AO213" s="2" t="s">
        <v>1267</v>
      </c>
      <c r="AQ213" s="2" t="s">
        <v>1268</v>
      </c>
      <c r="AS213" s="2" t="s">
        <v>1271</v>
      </c>
      <c r="AT213" s="2" t="s">
        <v>1272</v>
      </c>
      <c r="AY213" s="2" t="s">
        <v>1278</v>
      </c>
      <c r="BJ213" s="2"/>
    </row>
    <row r="214" spans="1:62" ht="30" customHeight="1" x14ac:dyDescent="0.25">
      <c r="A214" s="1" t="s">
        <v>925</v>
      </c>
      <c r="B214" s="1" t="str">
        <f t="shared" si="3"/>
        <v>Contra Costa,  Marin,  Napa,  Placer,  Sacramento,  Solano,  Sonoma,  Sutter,  Yolo,  Yuba</v>
      </c>
      <c r="C214" s="2"/>
      <c r="I214" s="2" t="s">
        <v>1245</v>
      </c>
      <c r="W214" s="2" t="s">
        <v>988</v>
      </c>
      <c r="AD214" s="2" t="s">
        <v>1258</v>
      </c>
      <c r="AG214" s="2" t="s">
        <v>1261</v>
      </c>
      <c r="AJ214" s="2" t="s">
        <v>1273</v>
      </c>
      <c r="AX214" s="2" t="s">
        <v>1277</v>
      </c>
      <c r="AY214" s="2" t="s">
        <v>1278</v>
      </c>
      <c r="BA214" s="2" t="s">
        <v>1280</v>
      </c>
      <c r="BG214" s="2" t="s">
        <v>1286</v>
      </c>
      <c r="BH214" s="2" t="s">
        <v>1287</v>
      </c>
      <c r="BJ214" s="2"/>
    </row>
    <row r="215" spans="1:62" ht="30" customHeight="1" x14ac:dyDescent="0.25">
      <c r="A215" s="1" t="s">
        <v>297</v>
      </c>
      <c r="B215" s="1" t="str">
        <f t="shared" si="3"/>
        <v>Amador,  Butte,  Contra Costa,  El Dorado,  Napa,  Nevada,  Placer,  Sacramento,  San Joaquin,  Solano,  Sonoma,  Sutter,  Yuba</v>
      </c>
      <c r="C215" s="2"/>
      <c r="E215" s="2" t="s">
        <v>1238</v>
      </c>
      <c r="F215" s="2" t="s">
        <v>1239</v>
      </c>
      <c r="I215" s="2" t="s">
        <v>1245</v>
      </c>
      <c r="K215" s="2" t="s">
        <v>1241</v>
      </c>
      <c r="AD215" s="2" t="s">
        <v>1258</v>
      </c>
      <c r="AE215" s="2" t="s">
        <v>1259</v>
      </c>
      <c r="AG215" s="2" t="s">
        <v>1261</v>
      </c>
      <c r="AJ215" s="2" t="s">
        <v>1273</v>
      </c>
      <c r="AO215" s="2" t="s">
        <v>1267</v>
      </c>
      <c r="AX215" s="2" t="s">
        <v>1277</v>
      </c>
      <c r="AY215" s="2" t="s">
        <v>1278</v>
      </c>
      <c r="BA215" s="2" t="s">
        <v>1280</v>
      </c>
      <c r="BH215" s="2" t="s">
        <v>1287</v>
      </c>
      <c r="BJ215" s="2"/>
    </row>
    <row r="216" spans="1:62" ht="30" customHeight="1" x14ac:dyDescent="0.25">
      <c r="A216" s="1" t="s">
        <v>919</v>
      </c>
      <c r="B216" s="1" t="str">
        <f t="shared" si="3"/>
        <v>San Luis Obispo,  Santa Barbara,  Ventura</v>
      </c>
      <c r="C216" s="2"/>
      <c r="AP216" s="2" t="s">
        <v>1269</v>
      </c>
      <c r="AR216" s="2" t="s">
        <v>1270</v>
      </c>
      <c r="BF216" s="2" t="s">
        <v>1285</v>
      </c>
      <c r="BJ216" s="2"/>
    </row>
    <row r="217" spans="1:62" ht="30" customHeight="1" x14ac:dyDescent="0.25">
      <c r="A217" s="1" t="s">
        <v>1055</v>
      </c>
      <c r="B217" s="1" t="str">
        <f t="shared" si="3"/>
        <v>Alameda,  Contra Costa,  Los Angeles,  Napa,  Riverside,  Sacramento,  San Bernardino,  San Francisco,  Solano,  Sonoma</v>
      </c>
      <c r="C217" s="2" t="s">
        <v>1236</v>
      </c>
      <c r="I217" s="2" t="s">
        <v>1245</v>
      </c>
      <c r="U217" s="2" t="s">
        <v>1289</v>
      </c>
      <c r="AD217" s="2" t="s">
        <v>1258</v>
      </c>
      <c r="AI217" s="2" t="s">
        <v>1263</v>
      </c>
      <c r="AJ217" s="2" t="s">
        <v>1273</v>
      </c>
      <c r="AL217" s="2" t="s">
        <v>1264</v>
      </c>
      <c r="AN217" s="2" t="s">
        <v>1266</v>
      </c>
      <c r="AX217" s="2" t="s">
        <v>1277</v>
      </c>
      <c r="AY217" s="2" t="s">
        <v>1278</v>
      </c>
      <c r="BJ217" s="2"/>
    </row>
    <row r="218" spans="1:62" ht="30" customHeight="1" x14ac:dyDescent="0.25">
      <c r="A218" s="1" t="s">
        <v>77</v>
      </c>
      <c r="B218" s="1" t="str">
        <f t="shared" si="3"/>
        <v>Alameda,  Marin,  Monterey,  Napa,  Sacramento,  San Luis Obispo,  San Mateo,  Santa Clara,  Santa Clara,  Solano,  Sonoma,  Yolo</v>
      </c>
      <c r="C218" s="2" t="s">
        <v>1236</v>
      </c>
      <c r="W218" s="2" t="s">
        <v>988</v>
      </c>
      <c r="AC218" s="2" t="s">
        <v>1257</v>
      </c>
      <c r="AD218" s="2" t="s">
        <v>1258</v>
      </c>
      <c r="AJ218" s="2" t="s">
        <v>1273</v>
      </c>
      <c r="AP218" s="2" t="s">
        <v>1269</v>
      </c>
      <c r="AQ218" s="2" t="s">
        <v>1268</v>
      </c>
      <c r="AS218" s="2" t="s">
        <v>1271</v>
      </c>
      <c r="AT218" s="2" t="s">
        <v>1271</v>
      </c>
      <c r="AX218" s="2" t="s">
        <v>1277</v>
      </c>
      <c r="AY218" s="2" t="s">
        <v>1278</v>
      </c>
      <c r="BG218" s="2" t="s">
        <v>1286</v>
      </c>
      <c r="BJ218" s="2"/>
    </row>
    <row r="219" spans="1:62" ht="30" customHeight="1" x14ac:dyDescent="0.25">
      <c r="A219" s="1" t="s">
        <v>444</v>
      </c>
      <c r="B219" s="1" t="str">
        <f t="shared" si="3"/>
        <v>Los Angeles,  Orange,  Riverside,  San Bernardino,  San Diego,  Santa Barbara,  Ventura</v>
      </c>
      <c r="C219" s="2"/>
      <c r="U219" s="2" t="s">
        <v>1289</v>
      </c>
      <c r="AF219" s="2" t="s">
        <v>1260</v>
      </c>
      <c r="AI219" s="2" t="s">
        <v>1263</v>
      </c>
      <c r="AL219" s="2" t="s">
        <v>1264</v>
      </c>
      <c r="AM219" s="2" t="s">
        <v>1265</v>
      </c>
      <c r="AR219" s="2" t="s">
        <v>1270</v>
      </c>
      <c r="BF219" s="2" t="s">
        <v>1285</v>
      </c>
      <c r="BJ219" s="2"/>
    </row>
    <row r="220" spans="1:62" ht="30" customHeight="1" x14ac:dyDescent="0.25">
      <c r="A220" s="1" t="s">
        <v>887</v>
      </c>
      <c r="B220" s="1" t="str">
        <f t="shared" si="3"/>
        <v>Los Angeles,  Orange,  Riverside,  San Bernardino,  San Diego,  Ventura</v>
      </c>
      <c r="C220" s="2"/>
      <c r="U220" s="2" t="s">
        <v>1289</v>
      </c>
      <c r="AF220" s="2" t="s">
        <v>1260</v>
      </c>
      <c r="AI220" s="2" t="s">
        <v>1263</v>
      </c>
      <c r="AL220" s="2" t="s">
        <v>1264</v>
      </c>
      <c r="AM220" s="2" t="s">
        <v>1265</v>
      </c>
      <c r="BF220" s="2" t="s">
        <v>1285</v>
      </c>
      <c r="BJ220" s="2"/>
    </row>
    <row r="221" spans="1:62" ht="30" customHeight="1" x14ac:dyDescent="0.25">
      <c r="A221" s="1" t="s">
        <v>572</v>
      </c>
      <c r="B221" s="1" t="str">
        <f t="shared" si="3"/>
        <v>San Diego</v>
      </c>
      <c r="C221" s="2"/>
      <c r="AM221" s="2" t="s">
        <v>1265</v>
      </c>
      <c r="BJ221" s="2"/>
    </row>
    <row r="222" spans="1:62" ht="30" customHeight="1" x14ac:dyDescent="0.25">
      <c r="A222" s="1" t="s">
        <v>523</v>
      </c>
      <c r="B222"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22" s="2" t="s">
        <v>1236</v>
      </c>
      <c r="D222" s="2" t="s">
        <v>1237</v>
      </c>
      <c r="E222" s="2" t="s">
        <v>1238</v>
      </c>
      <c r="F222" s="2" t="s">
        <v>1239</v>
      </c>
      <c r="G222" s="2" t="s">
        <v>1240</v>
      </c>
      <c r="H222" s="2" t="s">
        <v>1244</v>
      </c>
      <c r="I222" s="2" t="s">
        <v>1245</v>
      </c>
      <c r="J222" s="2" t="s">
        <v>1291</v>
      </c>
      <c r="K222" s="2" t="s">
        <v>1241</v>
      </c>
      <c r="L222" s="2" t="s">
        <v>1242</v>
      </c>
      <c r="M222" s="2" t="s">
        <v>1243</v>
      </c>
      <c r="N222" s="2" t="s">
        <v>1246</v>
      </c>
      <c r="O222" s="2" t="s">
        <v>1247</v>
      </c>
      <c r="P222" s="2" t="s">
        <v>1248</v>
      </c>
      <c r="Q222" s="2" t="s">
        <v>1249</v>
      </c>
      <c r="R222" s="2" t="s">
        <v>1250</v>
      </c>
      <c r="S222" s="2" t="s">
        <v>1251</v>
      </c>
      <c r="T222" s="2" t="s">
        <v>1288</v>
      </c>
      <c r="U222" s="2" t="s">
        <v>1289</v>
      </c>
      <c r="V222" s="2" t="s">
        <v>1252</v>
      </c>
      <c r="W222" s="2" t="s">
        <v>988</v>
      </c>
      <c r="X222" s="2" t="s">
        <v>1253</v>
      </c>
      <c r="Y222" s="2" t="s">
        <v>1254</v>
      </c>
      <c r="Z222" s="2" t="s">
        <v>1255</v>
      </c>
      <c r="AA222" s="2" t="s">
        <v>1292</v>
      </c>
      <c r="AB222" s="2" t="s">
        <v>1256</v>
      </c>
      <c r="AC222" s="2" t="s">
        <v>1257</v>
      </c>
      <c r="AD222" s="2" t="s">
        <v>1258</v>
      </c>
      <c r="AE222" s="2" t="s">
        <v>1259</v>
      </c>
      <c r="AF222" s="2" t="s">
        <v>1260</v>
      </c>
      <c r="AG222" s="2" t="s">
        <v>1261</v>
      </c>
      <c r="AH222" s="2" t="s">
        <v>1262</v>
      </c>
      <c r="AI222" s="2" t="s">
        <v>1263</v>
      </c>
      <c r="AJ222" s="2" t="s">
        <v>1273</v>
      </c>
      <c r="AK222" s="2" t="s">
        <v>1290</v>
      </c>
      <c r="AL222" s="2" t="s">
        <v>1264</v>
      </c>
      <c r="AM222" s="2" t="s">
        <v>1265</v>
      </c>
      <c r="AN222" s="2" t="s">
        <v>1266</v>
      </c>
      <c r="AO222" s="2" t="s">
        <v>1267</v>
      </c>
      <c r="AP222" s="2" t="s">
        <v>1269</v>
      </c>
      <c r="AQ222" s="2" t="s">
        <v>1268</v>
      </c>
      <c r="AR222" s="2" t="s">
        <v>1270</v>
      </c>
      <c r="AS222" s="2" t="s">
        <v>1271</v>
      </c>
      <c r="AT222" s="2" t="s">
        <v>1272</v>
      </c>
      <c r="AU222" s="2" t="s">
        <v>1274</v>
      </c>
      <c r="AV222" s="2" t="s">
        <v>1275</v>
      </c>
      <c r="AW222" s="2" t="s">
        <v>1276</v>
      </c>
      <c r="AX222" s="2" t="s">
        <v>1277</v>
      </c>
      <c r="AY222" s="2" t="s">
        <v>1278</v>
      </c>
      <c r="AZ222" s="2" t="s">
        <v>1279</v>
      </c>
      <c r="BA222" s="2" t="s">
        <v>1280</v>
      </c>
      <c r="BB222" s="2" t="s">
        <v>1281</v>
      </c>
      <c r="BC222" s="2" t="s">
        <v>1282</v>
      </c>
      <c r="BD222" s="2" t="s">
        <v>1283</v>
      </c>
      <c r="BE222" s="2" t="s">
        <v>1284</v>
      </c>
      <c r="BF222" s="2" t="s">
        <v>1285</v>
      </c>
      <c r="BG222" s="2" t="s">
        <v>1286</v>
      </c>
      <c r="BH222" s="2" t="s">
        <v>1287</v>
      </c>
      <c r="BJ222" s="2"/>
    </row>
    <row r="223" spans="1:62" ht="30" customHeight="1" x14ac:dyDescent="0.25">
      <c r="A223" s="1" t="s">
        <v>56</v>
      </c>
      <c r="B223" s="1" t="str">
        <f t="shared" si="3"/>
        <v>Butte,  Lake,  Shasta,  Tehama</v>
      </c>
      <c r="C223" s="2"/>
      <c r="F223" s="2" t="s">
        <v>1239</v>
      </c>
      <c r="S223" s="2" t="s">
        <v>1251</v>
      </c>
      <c r="AU223" s="2" t="s">
        <v>1274</v>
      </c>
      <c r="BB223" s="2" t="s">
        <v>1281</v>
      </c>
      <c r="BJ223" s="2"/>
    </row>
    <row r="224" spans="1:62" ht="30" customHeight="1" x14ac:dyDescent="0.25">
      <c r="A224" s="1" t="s">
        <v>1303</v>
      </c>
      <c r="B224" s="1" t="str">
        <f t="shared" si="3"/>
        <v>Alameda,  Alpine,  Amador,  Butte,  Calaveras,  Colusa,  Contra Costa,  El Dorado,  Fresno,  Lassen,  Marin,  Mariposa,  Mendocino,  Merced,  Mono,  Monterey,  Napa,  Nevada,  Placer,  Plumas,  Sacramento,  San Mateo,  Santa Clara,  Solano,  Sonoma,  Stanislaus,  Sutter,  Yolo,  Yuba</v>
      </c>
      <c r="C224" s="2" t="s">
        <v>1236</v>
      </c>
      <c r="D224" s="2" t="s">
        <v>1237</v>
      </c>
      <c r="E224" s="2" t="s">
        <v>1238</v>
      </c>
      <c r="F224" s="2" t="s">
        <v>1239</v>
      </c>
      <c r="G224" s="2" t="s">
        <v>1240</v>
      </c>
      <c r="H224" s="2" t="s">
        <v>1244</v>
      </c>
      <c r="I224" s="2" t="s">
        <v>1245</v>
      </c>
      <c r="K224" s="2" t="s">
        <v>1241</v>
      </c>
      <c r="L224" s="2" t="s">
        <v>1242</v>
      </c>
      <c r="T224" s="2" t="s">
        <v>1288</v>
      </c>
      <c r="W224" s="2" t="s">
        <v>988</v>
      </c>
      <c r="X224" s="2" t="s">
        <v>1253</v>
      </c>
      <c r="Y224" s="2" t="s">
        <v>1254</v>
      </c>
      <c r="Z224" s="2" t="s">
        <v>1255</v>
      </c>
      <c r="AB224" s="2" t="s">
        <v>1256</v>
      </c>
      <c r="AC224" s="2" t="s">
        <v>1257</v>
      </c>
      <c r="AD224" s="2" t="s">
        <v>1258</v>
      </c>
      <c r="AE224" s="2" t="s">
        <v>1259</v>
      </c>
      <c r="AG224" s="2" t="s">
        <v>1261</v>
      </c>
      <c r="AH224" s="2" t="s">
        <v>1262</v>
      </c>
      <c r="AJ224" s="2" t="s">
        <v>1273</v>
      </c>
      <c r="AQ224" s="2" t="s">
        <v>1268</v>
      </c>
      <c r="AS224" s="2" t="s">
        <v>1271</v>
      </c>
      <c r="AX224" s="2" t="s">
        <v>1277</v>
      </c>
      <c r="AY224" s="2" t="s">
        <v>1278</v>
      </c>
      <c r="AZ224" s="2" t="s">
        <v>1279</v>
      </c>
      <c r="BA224" s="2" t="s">
        <v>1280</v>
      </c>
      <c r="BG224" s="2" t="s">
        <v>1286</v>
      </c>
      <c r="BH224" s="2" t="s">
        <v>1287</v>
      </c>
      <c r="BJ224" s="2"/>
    </row>
    <row r="225" spans="1:62" ht="30" customHeight="1" x14ac:dyDescent="0.25">
      <c r="A225" s="1" t="s">
        <v>1302</v>
      </c>
      <c r="B225" s="1" t="str">
        <f t="shared" si="3"/>
        <v>Calaveras,  Fresno,  Kern,  Kings,  Madera,  Mariposa,  Merced,  Monterey,  San Benito,  San Joaquin,  Santa Clara,  Santa Cruz,  Stanislaus,  Tulare,  Tuolumne</v>
      </c>
      <c r="C225" s="2"/>
      <c r="G225" s="2" t="s">
        <v>1240</v>
      </c>
      <c r="L225" s="2" t="s">
        <v>1242</v>
      </c>
      <c r="Q225" s="2" t="s">
        <v>1249</v>
      </c>
      <c r="R225" s="2" t="s">
        <v>1250</v>
      </c>
      <c r="V225" s="2" t="s">
        <v>1252</v>
      </c>
      <c r="X225" s="2" t="s">
        <v>1253</v>
      </c>
      <c r="Z225" s="2" t="s">
        <v>1255</v>
      </c>
      <c r="AC225" s="2" t="s">
        <v>1257</v>
      </c>
      <c r="AK225" s="2" t="s">
        <v>1290</v>
      </c>
      <c r="AO225" s="2" t="s">
        <v>1267</v>
      </c>
      <c r="AS225" s="2" t="s">
        <v>1271</v>
      </c>
      <c r="AT225" s="2" t="s">
        <v>1272</v>
      </c>
      <c r="AZ225" s="2" t="s">
        <v>1279</v>
      </c>
      <c r="BD225" s="2" t="s">
        <v>1283</v>
      </c>
      <c r="BE225" s="2" t="s">
        <v>1284</v>
      </c>
      <c r="BJ225" s="2"/>
    </row>
    <row r="226" spans="1:62" ht="30" customHeight="1" x14ac:dyDescent="0.25">
      <c r="A226" s="1" t="s">
        <v>195</v>
      </c>
      <c r="B226"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26" s="2" t="s">
        <v>1236</v>
      </c>
      <c r="D226" s="2" t="s">
        <v>1237</v>
      </c>
      <c r="E226" s="2" t="s">
        <v>1238</v>
      </c>
      <c r="F226" s="2" t="s">
        <v>1239</v>
      </c>
      <c r="G226" s="2" t="s">
        <v>1240</v>
      </c>
      <c r="H226" s="2" t="s">
        <v>1244</v>
      </c>
      <c r="I226" s="2" t="s">
        <v>1245</v>
      </c>
      <c r="J226" s="2" t="s">
        <v>1291</v>
      </c>
      <c r="K226" s="2" t="s">
        <v>1241</v>
      </c>
      <c r="L226" s="2" t="s">
        <v>1242</v>
      </c>
      <c r="M226" s="2" t="s">
        <v>1243</v>
      </c>
      <c r="N226" s="2" t="s">
        <v>1246</v>
      </c>
      <c r="O226" s="2" t="s">
        <v>1247</v>
      </c>
      <c r="P226" s="2" t="s">
        <v>1248</v>
      </c>
      <c r="Q226" s="2" t="s">
        <v>1249</v>
      </c>
      <c r="R226" s="2" t="s">
        <v>1250</v>
      </c>
      <c r="S226" s="2" t="s">
        <v>1251</v>
      </c>
      <c r="T226" s="2" t="s">
        <v>1288</v>
      </c>
      <c r="U226" s="2" t="s">
        <v>1289</v>
      </c>
      <c r="V226" s="2" t="s">
        <v>1252</v>
      </c>
      <c r="W226" s="2" t="s">
        <v>988</v>
      </c>
      <c r="X226" s="2" t="s">
        <v>1253</v>
      </c>
      <c r="Y226" s="2" t="s">
        <v>1254</v>
      </c>
      <c r="Z226" s="2" t="s">
        <v>1255</v>
      </c>
      <c r="AA226" s="2" t="s">
        <v>1292</v>
      </c>
      <c r="AB226" s="2" t="s">
        <v>1256</v>
      </c>
      <c r="AC226" s="2" t="s">
        <v>1257</v>
      </c>
      <c r="AD226" s="2" t="s">
        <v>1258</v>
      </c>
      <c r="AE226" s="2" t="s">
        <v>1259</v>
      </c>
      <c r="AF226" s="2" t="s">
        <v>1260</v>
      </c>
      <c r="AG226" s="2" t="s">
        <v>1261</v>
      </c>
      <c r="AH226" s="2" t="s">
        <v>1262</v>
      </c>
      <c r="AI226" s="2" t="s">
        <v>1263</v>
      </c>
      <c r="AJ226" s="2" t="s">
        <v>1273</v>
      </c>
      <c r="AK226" s="2" t="s">
        <v>1290</v>
      </c>
      <c r="AL226" s="2" t="s">
        <v>1264</v>
      </c>
      <c r="AM226" s="2" t="s">
        <v>1265</v>
      </c>
      <c r="AN226" s="2" t="s">
        <v>1266</v>
      </c>
      <c r="AO226" s="2" t="s">
        <v>1267</v>
      </c>
      <c r="AP226" s="2" t="s">
        <v>1269</v>
      </c>
      <c r="AQ226" s="2" t="s">
        <v>1268</v>
      </c>
      <c r="AR226" s="2" t="s">
        <v>1270</v>
      </c>
      <c r="AS226" s="2" t="s">
        <v>1271</v>
      </c>
      <c r="AT226" s="2" t="s">
        <v>1272</v>
      </c>
      <c r="AU226" s="2" t="s">
        <v>1274</v>
      </c>
      <c r="AV226" s="2" t="s">
        <v>1275</v>
      </c>
      <c r="AW226" s="2" t="s">
        <v>1276</v>
      </c>
      <c r="AX226" s="2" t="s">
        <v>1277</v>
      </c>
      <c r="AY226" s="2" t="s">
        <v>1278</v>
      </c>
      <c r="AZ226" s="2" t="s">
        <v>1279</v>
      </c>
      <c r="BA226" s="2" t="s">
        <v>1280</v>
      </c>
      <c r="BB226" s="2" t="s">
        <v>1281</v>
      </c>
      <c r="BC226" s="2" t="s">
        <v>1282</v>
      </c>
      <c r="BD226" s="2" t="s">
        <v>1283</v>
      </c>
      <c r="BE226" s="2" t="s">
        <v>1284</v>
      </c>
      <c r="BF226" s="2" t="s">
        <v>1285</v>
      </c>
      <c r="BG226" s="2" t="s">
        <v>1286</v>
      </c>
      <c r="BH226" s="2" t="s">
        <v>1287</v>
      </c>
      <c r="BJ226" s="2"/>
    </row>
    <row r="227" spans="1:62" ht="30" customHeight="1" x14ac:dyDescent="0.25">
      <c r="A227" s="1" t="s">
        <v>1234</v>
      </c>
      <c r="B227" s="1" t="str">
        <f t="shared" si="3"/>
        <v>Santa Barbara</v>
      </c>
      <c r="C227" s="2"/>
      <c r="AR227" s="2" t="s">
        <v>1270</v>
      </c>
      <c r="BJ227" s="2"/>
    </row>
    <row r="228" spans="1:62" ht="30" customHeight="1" x14ac:dyDescent="0.25">
      <c r="A228" s="1" t="s">
        <v>183</v>
      </c>
      <c r="B228" s="1" t="str">
        <f t="shared" si="3"/>
        <v>Alameda,  Butte,  Colusa,  Contra Costa,  El Dorado,  Fresno,  Glenn,  Humboldt,  Lake,  Napa,  Nevada,  Placer,  Plumas,  Sacramento,  San Joaquin,  Shasta,  Solano,  Sutter,  Yolo,  Yuba</v>
      </c>
      <c r="C228" s="2" t="s">
        <v>1236</v>
      </c>
      <c r="F228" s="2" t="s">
        <v>1239</v>
      </c>
      <c r="H228" s="2" t="s">
        <v>1244</v>
      </c>
      <c r="I228" s="2" t="s">
        <v>1245</v>
      </c>
      <c r="K228" s="2" t="s">
        <v>1241</v>
      </c>
      <c r="L228" s="2" t="s">
        <v>1242</v>
      </c>
      <c r="M228" s="2" t="s">
        <v>1243</v>
      </c>
      <c r="N228" s="2" t="s">
        <v>1246</v>
      </c>
      <c r="S228" s="2" t="s">
        <v>1251</v>
      </c>
      <c r="AD228" s="2" t="s">
        <v>1258</v>
      </c>
      <c r="AE228" s="2" t="s">
        <v>1259</v>
      </c>
      <c r="AG228" s="2" t="s">
        <v>1261</v>
      </c>
      <c r="AH228" s="2" t="s">
        <v>1262</v>
      </c>
      <c r="AJ228" s="2" t="s">
        <v>1273</v>
      </c>
      <c r="AO228" s="2" t="s">
        <v>1267</v>
      </c>
      <c r="AU228" s="2" t="s">
        <v>1274</v>
      </c>
      <c r="AX228" s="2" t="s">
        <v>1277</v>
      </c>
      <c r="BA228" s="2" t="s">
        <v>1280</v>
      </c>
      <c r="BG228" s="2" t="s">
        <v>1286</v>
      </c>
      <c r="BH228" s="2" t="s">
        <v>1287</v>
      </c>
      <c r="BJ228" s="2"/>
    </row>
    <row r="229" spans="1:62" ht="30" customHeight="1" x14ac:dyDescent="0.25">
      <c r="A229" s="1" t="s">
        <v>370</v>
      </c>
      <c r="B229" s="1" t="str">
        <f t="shared" si="3"/>
        <v>Fresno,  Kern,  Los Angeles,  Merced,  Monterey,  Orange,  Placer,  Riverside,  Sacramento,  San Bernardino,  San Diego,  San Mateo,  Santa Clara,  Ventura</v>
      </c>
      <c r="C229" s="2"/>
      <c r="L229" s="2" t="s">
        <v>1242</v>
      </c>
      <c r="Q229" s="2" t="s">
        <v>1249</v>
      </c>
      <c r="U229" s="2" t="s">
        <v>1289</v>
      </c>
      <c r="Z229" s="2" t="s">
        <v>1255</v>
      </c>
      <c r="AC229" s="2" t="s">
        <v>1257</v>
      </c>
      <c r="AF229" s="2" t="s">
        <v>1260</v>
      </c>
      <c r="AG229" s="2" t="s">
        <v>1261</v>
      </c>
      <c r="AI229" s="2" t="s">
        <v>1263</v>
      </c>
      <c r="AJ229" s="2" t="s">
        <v>1273</v>
      </c>
      <c r="AL229" s="2" t="s">
        <v>1264</v>
      </c>
      <c r="AM229" s="2" t="s">
        <v>1265</v>
      </c>
      <c r="AQ229" s="2" t="s">
        <v>1268</v>
      </c>
      <c r="AS229" s="2" t="s">
        <v>1271</v>
      </c>
      <c r="BF229" s="2" t="s">
        <v>1285</v>
      </c>
      <c r="BJ229" s="2"/>
    </row>
    <row r="230" spans="1:62" ht="30" customHeight="1" x14ac:dyDescent="0.25">
      <c r="A230" s="1" t="s">
        <v>913</v>
      </c>
      <c r="B230" s="1" t="str">
        <f t="shared" si="3"/>
        <v>Marin,  Napa,  Sonoma</v>
      </c>
      <c r="C230" s="2"/>
      <c r="W230" s="2" t="s">
        <v>988</v>
      </c>
      <c r="AD230" s="2" t="s">
        <v>1258</v>
      </c>
      <c r="AY230" s="2" t="s">
        <v>1278</v>
      </c>
      <c r="BJ230" s="2"/>
    </row>
    <row r="231" spans="1:62" ht="30" customHeight="1" x14ac:dyDescent="0.25">
      <c r="A231" s="1" t="s">
        <v>163</v>
      </c>
      <c r="B231"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1" s="2" t="s">
        <v>1236</v>
      </c>
      <c r="D231" s="2" t="s">
        <v>1237</v>
      </c>
      <c r="E231" s="2" t="s">
        <v>1238</v>
      </c>
      <c r="F231" s="2" t="s">
        <v>1239</v>
      </c>
      <c r="G231" s="2" t="s">
        <v>1240</v>
      </c>
      <c r="H231" s="2" t="s">
        <v>1244</v>
      </c>
      <c r="I231" s="2" t="s">
        <v>1245</v>
      </c>
      <c r="J231" s="2" t="s">
        <v>1291</v>
      </c>
      <c r="K231" s="2" t="s">
        <v>1241</v>
      </c>
      <c r="L231" s="2" t="s">
        <v>1242</v>
      </c>
      <c r="M231" s="2" t="s">
        <v>1243</v>
      </c>
      <c r="N231" s="2" t="s">
        <v>1246</v>
      </c>
      <c r="O231" s="2" t="s">
        <v>1247</v>
      </c>
      <c r="P231" s="2" t="s">
        <v>1248</v>
      </c>
      <c r="Q231" s="2" t="s">
        <v>1249</v>
      </c>
      <c r="R231" s="2" t="s">
        <v>1250</v>
      </c>
      <c r="S231" s="2" t="s">
        <v>1251</v>
      </c>
      <c r="T231" s="2" t="s">
        <v>1288</v>
      </c>
      <c r="U231" s="2" t="s">
        <v>1289</v>
      </c>
      <c r="V231" s="2" t="s">
        <v>1252</v>
      </c>
      <c r="W231" s="2" t="s">
        <v>988</v>
      </c>
      <c r="X231" s="2" t="s">
        <v>1253</v>
      </c>
      <c r="Y231" s="2" t="s">
        <v>1254</v>
      </c>
      <c r="Z231" s="2" t="s">
        <v>1255</v>
      </c>
      <c r="AA231" s="2" t="s">
        <v>1292</v>
      </c>
      <c r="AB231" s="2" t="s">
        <v>1256</v>
      </c>
      <c r="AC231" s="2" t="s">
        <v>1257</v>
      </c>
      <c r="AD231" s="2" t="s">
        <v>1258</v>
      </c>
      <c r="AE231" s="2" t="s">
        <v>1259</v>
      </c>
      <c r="AF231" s="2" t="s">
        <v>1260</v>
      </c>
      <c r="AG231" s="2" t="s">
        <v>1261</v>
      </c>
      <c r="AH231" s="2" t="s">
        <v>1262</v>
      </c>
      <c r="AI231" s="2" t="s">
        <v>1263</v>
      </c>
      <c r="AJ231" s="2" t="s">
        <v>1273</v>
      </c>
      <c r="AK231" s="2" t="s">
        <v>1290</v>
      </c>
      <c r="AL231" s="2" t="s">
        <v>1264</v>
      </c>
      <c r="AM231" s="2" t="s">
        <v>1265</v>
      </c>
      <c r="AN231" s="2" t="s">
        <v>1266</v>
      </c>
      <c r="AO231" s="2" t="s">
        <v>1267</v>
      </c>
      <c r="AP231" s="2" t="s">
        <v>1269</v>
      </c>
      <c r="AQ231" s="2" t="s">
        <v>1268</v>
      </c>
      <c r="AR231" s="2" t="s">
        <v>1270</v>
      </c>
      <c r="AS231" s="2" t="s">
        <v>1271</v>
      </c>
      <c r="AT231" s="2" t="s">
        <v>1272</v>
      </c>
      <c r="AU231" s="2" t="s">
        <v>1274</v>
      </c>
      <c r="AV231" s="2" t="s">
        <v>1275</v>
      </c>
      <c r="AW231" s="2" t="s">
        <v>1276</v>
      </c>
      <c r="AX231" s="2" t="s">
        <v>1277</v>
      </c>
      <c r="AY231" s="2" t="s">
        <v>1278</v>
      </c>
      <c r="AZ231" s="2" t="s">
        <v>1279</v>
      </c>
      <c r="BA231" s="2" t="s">
        <v>1280</v>
      </c>
      <c r="BB231" s="2" t="s">
        <v>1281</v>
      </c>
      <c r="BC231" s="2" t="s">
        <v>1282</v>
      </c>
      <c r="BD231" s="2" t="s">
        <v>1283</v>
      </c>
      <c r="BE231" s="2" t="s">
        <v>1284</v>
      </c>
      <c r="BF231" s="2" t="s">
        <v>1285</v>
      </c>
      <c r="BG231" s="2" t="s">
        <v>1286</v>
      </c>
      <c r="BH231" s="2" t="s">
        <v>1287</v>
      </c>
      <c r="BJ231" s="2"/>
    </row>
    <row r="232" spans="1:62" ht="30" customHeight="1" x14ac:dyDescent="0.25">
      <c r="A232" s="1" t="s">
        <v>877</v>
      </c>
      <c r="B232"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2" s="2" t="s">
        <v>1236</v>
      </c>
      <c r="D232" s="2" t="s">
        <v>1237</v>
      </c>
      <c r="E232" s="2" t="s">
        <v>1238</v>
      </c>
      <c r="F232" s="2" t="s">
        <v>1239</v>
      </c>
      <c r="G232" s="2" t="s">
        <v>1240</v>
      </c>
      <c r="H232" s="2" t="s">
        <v>1244</v>
      </c>
      <c r="I232" s="2" t="s">
        <v>1245</v>
      </c>
      <c r="J232" s="2" t="s">
        <v>1291</v>
      </c>
      <c r="K232" s="2" t="s">
        <v>1241</v>
      </c>
      <c r="L232" s="2" t="s">
        <v>1242</v>
      </c>
      <c r="M232" s="2" t="s">
        <v>1243</v>
      </c>
      <c r="N232" s="2" t="s">
        <v>1246</v>
      </c>
      <c r="O232" s="2" t="s">
        <v>1247</v>
      </c>
      <c r="P232" s="2" t="s">
        <v>1248</v>
      </c>
      <c r="Q232" s="2" t="s">
        <v>1249</v>
      </c>
      <c r="R232" s="2" t="s">
        <v>1250</v>
      </c>
      <c r="S232" s="2" t="s">
        <v>1251</v>
      </c>
      <c r="T232" s="2" t="s">
        <v>1288</v>
      </c>
      <c r="U232" s="2" t="s">
        <v>1289</v>
      </c>
      <c r="V232" s="2" t="s">
        <v>1252</v>
      </c>
      <c r="W232" s="2" t="s">
        <v>988</v>
      </c>
      <c r="X232" s="2" t="s">
        <v>1253</v>
      </c>
      <c r="Y232" s="2" t="s">
        <v>1254</v>
      </c>
      <c r="Z232" s="2" t="s">
        <v>1255</v>
      </c>
      <c r="AA232" s="2" t="s">
        <v>1292</v>
      </c>
      <c r="AB232" s="2" t="s">
        <v>1256</v>
      </c>
      <c r="AC232" s="2" t="s">
        <v>1257</v>
      </c>
      <c r="AD232" s="2" t="s">
        <v>1258</v>
      </c>
      <c r="AE232" s="2" t="s">
        <v>1259</v>
      </c>
      <c r="AF232" s="2" t="s">
        <v>1260</v>
      </c>
      <c r="AG232" s="2" t="s">
        <v>1261</v>
      </c>
      <c r="AH232" s="2" t="s">
        <v>1262</v>
      </c>
      <c r="AI232" s="2" t="s">
        <v>1263</v>
      </c>
      <c r="AJ232" s="2" t="s">
        <v>1273</v>
      </c>
      <c r="AK232" s="2" t="s">
        <v>1290</v>
      </c>
      <c r="AL232" s="2" t="s">
        <v>1264</v>
      </c>
      <c r="AM232" s="2" t="s">
        <v>1265</v>
      </c>
      <c r="AN232" s="2" t="s">
        <v>1266</v>
      </c>
      <c r="AO232" s="2" t="s">
        <v>1267</v>
      </c>
      <c r="AP232" s="2" t="s">
        <v>1269</v>
      </c>
      <c r="AQ232" s="2" t="s">
        <v>1268</v>
      </c>
      <c r="AR232" s="2" t="s">
        <v>1270</v>
      </c>
      <c r="AS232" s="2" t="s">
        <v>1271</v>
      </c>
      <c r="AT232" s="2" t="s">
        <v>1272</v>
      </c>
      <c r="AU232" s="2" t="s">
        <v>1274</v>
      </c>
      <c r="AV232" s="2" t="s">
        <v>1275</v>
      </c>
      <c r="AW232" s="2" t="s">
        <v>1276</v>
      </c>
      <c r="AX232" s="2" t="s">
        <v>1277</v>
      </c>
      <c r="AY232" s="2" t="s">
        <v>1278</v>
      </c>
      <c r="AZ232" s="2" t="s">
        <v>1279</v>
      </c>
      <c r="BA232" s="2" t="s">
        <v>1280</v>
      </c>
      <c r="BB232" s="2" t="s">
        <v>1281</v>
      </c>
      <c r="BC232" s="2" t="s">
        <v>1282</v>
      </c>
      <c r="BD232" s="2" t="s">
        <v>1283</v>
      </c>
      <c r="BE232" s="2" t="s">
        <v>1284</v>
      </c>
      <c r="BF232" s="2" t="s">
        <v>1285</v>
      </c>
      <c r="BG232" s="2" t="s">
        <v>1286</v>
      </c>
      <c r="BH232" s="2" t="s">
        <v>1287</v>
      </c>
      <c r="BJ232" s="2"/>
    </row>
    <row r="233" spans="1:62" ht="30" customHeight="1" x14ac:dyDescent="0.25">
      <c r="A233" s="1" t="s">
        <v>49</v>
      </c>
      <c r="B233" s="1" t="str">
        <f t="shared" si="3"/>
        <v>Alpine,  Butte,  El Dorado,  Nevada,  Placer,  Sacramento,  Sierra,  Sutter,  Yuba</v>
      </c>
      <c r="C233" s="2"/>
      <c r="D233" s="2" t="s">
        <v>1237</v>
      </c>
      <c r="F233" s="2" t="s">
        <v>1239</v>
      </c>
      <c r="K233" s="2" t="s">
        <v>1241</v>
      </c>
      <c r="AE233" s="2" t="s">
        <v>1259</v>
      </c>
      <c r="AG233" s="2" t="s">
        <v>1261</v>
      </c>
      <c r="AJ233" s="2" t="s">
        <v>1273</v>
      </c>
      <c r="AV233" s="2" t="s">
        <v>1275</v>
      </c>
      <c r="BA233" s="2" t="s">
        <v>1280</v>
      </c>
      <c r="BH233" s="2" t="s">
        <v>1287</v>
      </c>
      <c r="BJ233" s="2"/>
    </row>
    <row r="234" spans="1:62" ht="30" customHeight="1" x14ac:dyDescent="0.25">
      <c r="A234" s="1" t="s">
        <v>544</v>
      </c>
      <c r="B234" s="1" t="str">
        <f t="shared" si="3"/>
        <v>Alameda,  Contra Costa,  El Dorado,  Marin,  Monterey,  Napa,  Placer,  Sacramento,  San Mateo,  Santa Clara,  Solano,  Sonoma,  Yolo</v>
      </c>
      <c r="C234" s="2" t="s">
        <v>1236</v>
      </c>
      <c r="I234" s="2" t="s">
        <v>1245</v>
      </c>
      <c r="K234" s="2" t="s">
        <v>1241</v>
      </c>
      <c r="W234" s="2" t="s">
        <v>988</v>
      </c>
      <c r="AC234" s="2" t="s">
        <v>1257</v>
      </c>
      <c r="AD234" s="2" t="s">
        <v>1258</v>
      </c>
      <c r="AG234" s="2" t="s">
        <v>1261</v>
      </c>
      <c r="AJ234" s="2" t="s">
        <v>1273</v>
      </c>
      <c r="AQ234" s="2" t="s">
        <v>1268</v>
      </c>
      <c r="AS234" s="2" t="s">
        <v>1271</v>
      </c>
      <c r="AX234" s="2" t="s">
        <v>1277</v>
      </c>
      <c r="AY234" s="2" t="s">
        <v>1278</v>
      </c>
      <c r="BG234" s="2" t="s">
        <v>1286</v>
      </c>
      <c r="BJ234" s="2"/>
    </row>
    <row r="235" spans="1:62" ht="30" customHeight="1" x14ac:dyDescent="0.25">
      <c r="A235" s="1" t="s">
        <v>952</v>
      </c>
      <c r="B235" s="1" t="str">
        <f t="shared" si="3"/>
        <v>Los Angeles,  Napa,  Orange,  Riverside,  Sacramento,  San Bernardino,  San Diego,  San Luis Obispo,  San Mateo,  Santa Clara,  Santa Cruz,  Sonoma,  Ventura</v>
      </c>
      <c r="C235" s="2"/>
      <c r="U235" s="2" t="s">
        <v>1289</v>
      </c>
      <c r="AD235" s="2" t="s">
        <v>1258</v>
      </c>
      <c r="AF235" s="2" t="s">
        <v>1260</v>
      </c>
      <c r="AI235" s="2" t="s">
        <v>1263</v>
      </c>
      <c r="AJ235" s="2" t="s">
        <v>1273</v>
      </c>
      <c r="AL235" s="2" t="s">
        <v>1264</v>
      </c>
      <c r="AM235" s="2" t="s">
        <v>1265</v>
      </c>
      <c r="AP235" s="2" t="s">
        <v>1269</v>
      </c>
      <c r="AQ235" s="2" t="s">
        <v>1268</v>
      </c>
      <c r="AS235" s="2" t="s">
        <v>1271</v>
      </c>
      <c r="AT235" s="2" t="s">
        <v>1272</v>
      </c>
      <c r="AY235" s="2" t="s">
        <v>1278</v>
      </c>
      <c r="BF235" s="2" t="s">
        <v>1285</v>
      </c>
      <c r="BJ235" s="2"/>
    </row>
    <row r="236" spans="1:62" ht="30" customHeight="1" x14ac:dyDescent="0.25">
      <c r="A236" s="1" t="s">
        <v>856</v>
      </c>
      <c r="B236"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6" s="2" t="s">
        <v>1236</v>
      </c>
      <c r="D236" s="2" t="s">
        <v>1237</v>
      </c>
      <c r="E236" s="2" t="s">
        <v>1238</v>
      </c>
      <c r="F236" s="2" t="s">
        <v>1239</v>
      </c>
      <c r="G236" s="2" t="s">
        <v>1240</v>
      </c>
      <c r="H236" s="2" t="s">
        <v>1244</v>
      </c>
      <c r="I236" s="2" t="s">
        <v>1245</v>
      </c>
      <c r="J236" s="2" t="s">
        <v>1291</v>
      </c>
      <c r="K236" s="2" t="s">
        <v>1241</v>
      </c>
      <c r="L236" s="2" t="s">
        <v>1242</v>
      </c>
      <c r="M236" s="2" t="s">
        <v>1243</v>
      </c>
      <c r="N236" s="2" t="s">
        <v>1246</v>
      </c>
      <c r="O236" s="2" t="s">
        <v>1247</v>
      </c>
      <c r="P236" s="2" t="s">
        <v>1248</v>
      </c>
      <c r="Q236" s="2" t="s">
        <v>1249</v>
      </c>
      <c r="R236" s="2" t="s">
        <v>1250</v>
      </c>
      <c r="S236" s="2" t="s">
        <v>1251</v>
      </c>
      <c r="T236" s="2" t="s">
        <v>1288</v>
      </c>
      <c r="U236" s="2" t="s">
        <v>1289</v>
      </c>
      <c r="V236" s="2" t="s">
        <v>1252</v>
      </c>
      <c r="W236" s="2" t="s">
        <v>988</v>
      </c>
      <c r="X236" s="2" t="s">
        <v>1253</v>
      </c>
      <c r="Y236" s="2" t="s">
        <v>1254</v>
      </c>
      <c r="Z236" s="2" t="s">
        <v>1255</v>
      </c>
      <c r="AA236" s="2" t="s">
        <v>1292</v>
      </c>
      <c r="AB236" s="2" t="s">
        <v>1256</v>
      </c>
      <c r="AC236" s="2" t="s">
        <v>1257</v>
      </c>
      <c r="AD236" s="2" t="s">
        <v>1258</v>
      </c>
      <c r="AE236" s="2" t="s">
        <v>1259</v>
      </c>
      <c r="AF236" s="2" t="s">
        <v>1260</v>
      </c>
      <c r="AG236" s="2" t="s">
        <v>1261</v>
      </c>
      <c r="AH236" s="2" t="s">
        <v>1262</v>
      </c>
      <c r="AI236" s="2" t="s">
        <v>1263</v>
      </c>
      <c r="AJ236" s="2" t="s">
        <v>1273</v>
      </c>
      <c r="AK236" s="2" t="s">
        <v>1290</v>
      </c>
      <c r="AL236" s="2" t="s">
        <v>1264</v>
      </c>
      <c r="AM236" s="2" t="s">
        <v>1265</v>
      </c>
      <c r="AN236" s="2" t="s">
        <v>1266</v>
      </c>
      <c r="AO236" s="2" t="s">
        <v>1267</v>
      </c>
      <c r="AP236" s="2" t="s">
        <v>1269</v>
      </c>
      <c r="AQ236" s="2" t="s">
        <v>1268</v>
      </c>
      <c r="AR236" s="2" t="s">
        <v>1270</v>
      </c>
      <c r="AS236" s="2" t="s">
        <v>1271</v>
      </c>
      <c r="AT236" s="2" t="s">
        <v>1272</v>
      </c>
      <c r="AU236" s="2" t="s">
        <v>1274</v>
      </c>
      <c r="AV236" s="2" t="s">
        <v>1275</v>
      </c>
      <c r="AW236" s="2" t="s">
        <v>1276</v>
      </c>
      <c r="AX236" s="2" t="s">
        <v>1277</v>
      </c>
      <c r="AY236" s="2" t="s">
        <v>1278</v>
      </c>
      <c r="AZ236" s="2" t="s">
        <v>1279</v>
      </c>
      <c r="BA236" s="2" t="s">
        <v>1280</v>
      </c>
      <c r="BB236" s="2" t="s">
        <v>1281</v>
      </c>
      <c r="BC236" s="2" t="s">
        <v>1282</v>
      </c>
      <c r="BD236" s="2" t="s">
        <v>1283</v>
      </c>
      <c r="BE236" s="2" t="s">
        <v>1284</v>
      </c>
      <c r="BF236" s="2" t="s">
        <v>1285</v>
      </c>
      <c r="BG236" s="2" t="s">
        <v>1286</v>
      </c>
      <c r="BH236" s="2" t="s">
        <v>1287</v>
      </c>
      <c r="BJ236" s="2"/>
    </row>
    <row r="237" spans="1:62" ht="30" customHeight="1" x14ac:dyDescent="0.25">
      <c r="A237" s="1" t="s">
        <v>118</v>
      </c>
      <c r="B237" s="1" t="str">
        <f t="shared" si="3"/>
        <v>Alameda,  Calaveras,  Contra Costa,  Lake,  Marin,  Napa,  San Francisco,  San Mateo,  Solano,  Sonoma</v>
      </c>
      <c r="C237" s="2" t="s">
        <v>1236</v>
      </c>
      <c r="G237" s="2" t="s">
        <v>1240</v>
      </c>
      <c r="I237" s="2" t="s">
        <v>1245</v>
      </c>
      <c r="S237" s="2" t="s">
        <v>1251</v>
      </c>
      <c r="W237" s="2" t="s">
        <v>988</v>
      </c>
      <c r="AD237" s="2" t="s">
        <v>1258</v>
      </c>
      <c r="AN237" s="2" t="s">
        <v>1266</v>
      </c>
      <c r="AQ237" s="2" t="s">
        <v>1268</v>
      </c>
      <c r="AX237" s="2" t="s">
        <v>1277</v>
      </c>
      <c r="AY237" s="2" t="s">
        <v>1278</v>
      </c>
      <c r="BJ237" s="2"/>
    </row>
    <row r="238" spans="1:62" ht="30" customHeight="1" x14ac:dyDescent="0.25">
      <c r="A238" s="1" t="s">
        <v>1227</v>
      </c>
      <c r="B238" s="1" t="str">
        <f t="shared" si="3"/>
        <v>Riverside,  San Diego</v>
      </c>
      <c r="C238" s="2"/>
      <c r="AI238" s="2" t="s">
        <v>1263</v>
      </c>
      <c r="AM238" s="2" t="s">
        <v>1265</v>
      </c>
      <c r="BJ238" s="2"/>
    </row>
    <row r="239" spans="1:62" ht="30" customHeight="1" x14ac:dyDescent="0.25">
      <c r="A239" s="1" t="s">
        <v>513</v>
      </c>
      <c r="B239" s="1" t="str">
        <f t="shared" si="3"/>
        <v>Alameda,  Amador,  Calaveras,  Contra Costa,  El Dorado,  Marin,  Monterey,  Napa,  Sacramento,  San Francisco,  San Joaquin,  San Mateo,  Santa Clara,  Santa Cruz,  Sonoma,  Stanislaus,  Tuolumne,  Yolo</v>
      </c>
      <c r="C239" s="2" t="s">
        <v>1236</v>
      </c>
      <c r="E239" s="2" t="s">
        <v>1238</v>
      </c>
      <c r="G239" s="2" t="s">
        <v>1240</v>
      </c>
      <c r="I239" s="2" t="s">
        <v>1245</v>
      </c>
      <c r="K239" s="2" t="s">
        <v>1241</v>
      </c>
      <c r="W239" s="2" t="s">
        <v>988</v>
      </c>
      <c r="AC239" s="2" t="s">
        <v>1257</v>
      </c>
      <c r="AD239" s="2" t="s">
        <v>1258</v>
      </c>
      <c r="AJ239" s="2" t="s">
        <v>1273</v>
      </c>
      <c r="AN239" s="2" t="s">
        <v>1266</v>
      </c>
      <c r="AO239" s="2" t="s">
        <v>1267</v>
      </c>
      <c r="AQ239" s="2" t="s">
        <v>1268</v>
      </c>
      <c r="AS239" s="2" t="s">
        <v>1271</v>
      </c>
      <c r="AT239" s="2" t="s">
        <v>1272</v>
      </c>
      <c r="AY239" s="2" t="s">
        <v>1278</v>
      </c>
      <c r="AZ239" s="2" t="s">
        <v>1279</v>
      </c>
      <c r="BE239" s="2" t="s">
        <v>1284</v>
      </c>
      <c r="BG239" s="2" t="s">
        <v>1286</v>
      </c>
      <c r="BJ239" s="2"/>
    </row>
    <row r="240" spans="1:62" ht="30" customHeight="1" x14ac:dyDescent="0.25">
      <c r="A240" s="1" t="s">
        <v>408</v>
      </c>
      <c r="B240" s="1" t="str">
        <f t="shared" si="3"/>
        <v>Sonoma</v>
      </c>
      <c r="C240" s="2"/>
      <c r="AY240" s="2" t="s">
        <v>1278</v>
      </c>
      <c r="BJ240" s="2"/>
    </row>
    <row r="241" spans="1:62" ht="30" customHeight="1" x14ac:dyDescent="0.25">
      <c r="A241" s="1" t="s">
        <v>436</v>
      </c>
      <c r="B241" s="1" t="str">
        <f t="shared" si="3"/>
        <v>Sonoma</v>
      </c>
      <c r="C241" s="2"/>
      <c r="AY241" s="2" t="s">
        <v>1278</v>
      </c>
      <c r="BJ241" s="2"/>
    </row>
    <row r="242" spans="1:62" ht="30" customHeight="1" x14ac:dyDescent="0.25">
      <c r="A242" s="1" t="s">
        <v>870</v>
      </c>
      <c r="B242" s="1" t="str">
        <f t="shared" si="3"/>
        <v>Los Angeles,  Orange,  Riverside,  San Bernardino,  Ventura</v>
      </c>
      <c r="C242" s="2"/>
      <c r="U242" s="2" t="s">
        <v>1289</v>
      </c>
      <c r="AF242" s="2" t="s">
        <v>1260</v>
      </c>
      <c r="AI242" s="2" t="s">
        <v>1263</v>
      </c>
      <c r="AL242" s="2" t="s">
        <v>1264</v>
      </c>
      <c r="BF242" s="2" t="s">
        <v>1285</v>
      </c>
      <c r="BJ242" s="2"/>
    </row>
    <row r="243" spans="1:62" ht="30" customHeight="1" x14ac:dyDescent="0.25">
      <c r="A243" s="1" t="s">
        <v>460</v>
      </c>
      <c r="B243" s="1" t="str">
        <f t="shared" si="3"/>
        <v>Alameda,  Los Angeles,  Orange,  Riverside,  San Diego,  Ventura</v>
      </c>
      <c r="C243" s="2" t="s">
        <v>1236</v>
      </c>
      <c r="U243" s="2" t="s">
        <v>1289</v>
      </c>
      <c r="AF243" s="2" t="s">
        <v>1260</v>
      </c>
      <c r="AI243" s="2" t="s">
        <v>1263</v>
      </c>
      <c r="AM243" s="2" t="s">
        <v>1265</v>
      </c>
      <c r="BF243" s="2" t="s">
        <v>1285</v>
      </c>
      <c r="BJ243" s="2"/>
    </row>
    <row r="244" spans="1:62" ht="30" customHeight="1" x14ac:dyDescent="0.25">
      <c r="A244" s="1" t="s">
        <v>937</v>
      </c>
      <c r="B244" s="1" t="str">
        <f t="shared" si="3"/>
        <v>El Dorado,  Fresno,  Inyo,  Kern,  Kings,  Los Angeles,  Madera,  Mariposa,  Merced,  Monterey,  Napa,  Placer,  Riverside,  Sacramento,  San Benito,  San Bernardino,  San Diego,  San Francisco,  San Joaquin,  San Luis Obispo,  San Mateo,  Santa Barbara,  Santa Clara,  Santa Cruz,  Sonoma,  Stanislaus,  Tulare,  Ventura,  Yolo,  Yuba</v>
      </c>
      <c r="C244" s="2"/>
      <c r="K244" s="2" t="s">
        <v>1241</v>
      </c>
      <c r="L244" s="2" t="s">
        <v>1242</v>
      </c>
      <c r="P244" s="2" t="s">
        <v>1248</v>
      </c>
      <c r="Q244" s="2" t="s">
        <v>1249</v>
      </c>
      <c r="R244" s="2" t="s">
        <v>1250</v>
      </c>
      <c r="U244" s="2" t="s">
        <v>1289</v>
      </c>
      <c r="V244" s="2" t="s">
        <v>1252</v>
      </c>
      <c r="X244" s="2" t="s">
        <v>1253</v>
      </c>
      <c r="Z244" s="2" t="s">
        <v>1255</v>
      </c>
      <c r="AC244" s="2" t="s">
        <v>1257</v>
      </c>
      <c r="AD244" s="2" t="s">
        <v>1258</v>
      </c>
      <c r="AG244" s="2" t="s">
        <v>1261</v>
      </c>
      <c r="AI244" s="2" t="s">
        <v>1263</v>
      </c>
      <c r="AJ244" s="2" t="s">
        <v>1273</v>
      </c>
      <c r="AK244" s="2" t="s">
        <v>1290</v>
      </c>
      <c r="AL244" s="2" t="s">
        <v>1264</v>
      </c>
      <c r="AM244" s="2" t="s">
        <v>1265</v>
      </c>
      <c r="AN244" s="2" t="s">
        <v>1266</v>
      </c>
      <c r="AO244" s="2" t="s">
        <v>1267</v>
      </c>
      <c r="AP244" s="2" t="s">
        <v>1269</v>
      </c>
      <c r="AQ244" s="2" t="s">
        <v>1268</v>
      </c>
      <c r="AR244" s="2" t="s">
        <v>1270</v>
      </c>
      <c r="AS244" s="2" t="s">
        <v>1271</v>
      </c>
      <c r="AT244" s="2" t="s">
        <v>1272</v>
      </c>
      <c r="AY244" s="2" t="s">
        <v>1278</v>
      </c>
      <c r="AZ244" s="2" t="s">
        <v>1279</v>
      </c>
      <c r="BD244" s="2" t="s">
        <v>1283</v>
      </c>
      <c r="BF244" s="2" t="s">
        <v>1285</v>
      </c>
      <c r="BG244" s="2" t="s">
        <v>1286</v>
      </c>
      <c r="BH244" s="2" t="s">
        <v>1287</v>
      </c>
      <c r="BJ244" s="2"/>
    </row>
    <row r="245" spans="1:62" ht="30" customHeight="1" x14ac:dyDescent="0.25">
      <c r="A245" s="1" t="s">
        <v>80</v>
      </c>
      <c r="B245" s="1" t="str">
        <f t="shared" si="3"/>
        <v>Alameda,  Contra Costa,  Humboldt,  Marin,  Mendocino,  Napa,  Sacramento,  San Francisco,  San Mateo,  Santa Clara,  Sonoma</v>
      </c>
      <c r="C245" s="2" t="s">
        <v>1236</v>
      </c>
      <c r="I245" s="2" t="s">
        <v>1245</v>
      </c>
      <c r="N245" s="2" t="s">
        <v>1246</v>
      </c>
      <c r="W245" s="2" t="s">
        <v>988</v>
      </c>
      <c r="Y245" s="2" t="s">
        <v>1254</v>
      </c>
      <c r="AD245" s="2" t="s">
        <v>1258</v>
      </c>
      <c r="AJ245" s="2" t="s">
        <v>1273</v>
      </c>
      <c r="AN245" s="2" t="s">
        <v>1266</v>
      </c>
      <c r="AQ245" s="2" t="s">
        <v>1268</v>
      </c>
      <c r="AS245" s="2" t="s">
        <v>1271</v>
      </c>
      <c r="AY245" s="2" t="s">
        <v>1278</v>
      </c>
      <c r="BJ245" s="2"/>
    </row>
    <row r="246" spans="1:62" ht="30" customHeight="1" x14ac:dyDescent="0.25">
      <c r="A246" s="1" t="s">
        <v>175</v>
      </c>
      <c r="B246" s="1" t="str">
        <f t="shared" si="3"/>
        <v>Alameda,  Amador,  Butte,  Calaveras,  Colusa,  Contra Costa,  El Dorado,  Inyo,  Kern,  Kings,  Lake,  Los Angeles,  Madera,  Marin,  Merced,  Monterey,  Napa,  Nevada,  Orange,  Placer,  Plumas,  Riverside,  Sacramento,  San Bernardino,  San Diego,  San Joaquin,  San Luis Obispo,  San Mateo,  Santa Clara,  Solano,  Sonoma,  Stanislaus,  Sutter,  Tehama,  Tulare,  Tuolumne,  Ventura,  Yolo,  Yuba</v>
      </c>
      <c r="C246" s="2" t="s">
        <v>1236</v>
      </c>
      <c r="E246" s="2" t="s">
        <v>1238</v>
      </c>
      <c r="F246" s="2" t="s">
        <v>1239</v>
      </c>
      <c r="G246" s="2" t="s">
        <v>1240</v>
      </c>
      <c r="H246" s="2" t="s">
        <v>1244</v>
      </c>
      <c r="I246" s="2" t="s">
        <v>1245</v>
      </c>
      <c r="K246" s="2" t="s">
        <v>1241</v>
      </c>
      <c r="P246" s="2" t="s">
        <v>1248</v>
      </c>
      <c r="Q246" s="2" t="s">
        <v>1249</v>
      </c>
      <c r="R246" s="2" t="s">
        <v>1250</v>
      </c>
      <c r="S246" s="2" t="s">
        <v>1251</v>
      </c>
      <c r="U246" s="2" t="s">
        <v>1289</v>
      </c>
      <c r="V246" s="2" t="s">
        <v>1252</v>
      </c>
      <c r="W246" s="2" t="s">
        <v>988</v>
      </c>
      <c r="Z246" s="2" t="s">
        <v>1255</v>
      </c>
      <c r="AC246" s="2" t="s">
        <v>1257</v>
      </c>
      <c r="AD246" s="2" t="s">
        <v>1258</v>
      </c>
      <c r="AE246" s="2" t="s">
        <v>1259</v>
      </c>
      <c r="AF246" s="2" t="s">
        <v>1260</v>
      </c>
      <c r="AG246" s="2" t="s">
        <v>1261</v>
      </c>
      <c r="AH246" s="2" t="s">
        <v>1262</v>
      </c>
      <c r="AI246" s="2" t="s">
        <v>1263</v>
      </c>
      <c r="AJ246" s="2" t="s">
        <v>1273</v>
      </c>
      <c r="AL246" s="2" t="s">
        <v>1264</v>
      </c>
      <c r="AM246" s="2" t="s">
        <v>1265</v>
      </c>
      <c r="AO246" s="2" t="s">
        <v>1267</v>
      </c>
      <c r="AP246" s="2" t="s">
        <v>1269</v>
      </c>
      <c r="AQ246" s="2" t="s">
        <v>1268</v>
      </c>
      <c r="AS246" s="2" t="s">
        <v>1271</v>
      </c>
      <c r="AX246" s="2" t="s">
        <v>1277</v>
      </c>
      <c r="AY246" s="2" t="s">
        <v>1278</v>
      </c>
      <c r="AZ246" s="2" t="s">
        <v>1279</v>
      </c>
      <c r="BA246" s="2" t="s">
        <v>1280</v>
      </c>
      <c r="BB246" s="2" t="s">
        <v>1281</v>
      </c>
      <c r="BD246" s="2" t="s">
        <v>1283</v>
      </c>
      <c r="BE246" s="2" t="s">
        <v>1284</v>
      </c>
      <c r="BF246" s="2" t="s">
        <v>1285</v>
      </c>
      <c r="BG246" s="2" t="s">
        <v>1286</v>
      </c>
      <c r="BH246" s="2" t="s">
        <v>1287</v>
      </c>
      <c r="BJ246" s="2"/>
    </row>
    <row r="247" spans="1:62" ht="30" customHeight="1" x14ac:dyDescent="0.25">
      <c r="A247" s="1" t="s">
        <v>884</v>
      </c>
      <c r="B247" s="1" t="str">
        <f t="shared" si="3"/>
        <v>Fresno,  Kern,  Madera,  Tulare</v>
      </c>
      <c r="C247" s="2"/>
      <c r="L247" s="2" t="s">
        <v>1242</v>
      </c>
      <c r="Q247" s="2" t="s">
        <v>1249</v>
      </c>
      <c r="V247" s="2" t="s">
        <v>1252</v>
      </c>
      <c r="BD247" s="2" t="s">
        <v>1283</v>
      </c>
      <c r="BJ247" s="2"/>
    </row>
    <row r="248" spans="1:62" ht="30" customHeight="1" x14ac:dyDescent="0.25">
      <c r="A248" s="1" t="s">
        <v>230</v>
      </c>
      <c r="B248" s="1" t="str">
        <f t="shared" si="3"/>
        <v>Los Angeles,  Orange,  Riverside,  Shasta,  Siskiyou,  Tehama,  Trinity,  Ventura</v>
      </c>
      <c r="C248" s="2"/>
      <c r="U248" s="2" t="s">
        <v>1289</v>
      </c>
      <c r="AF248" s="2" t="s">
        <v>1260</v>
      </c>
      <c r="AI248" s="2" t="s">
        <v>1263</v>
      </c>
      <c r="AU248" s="2" t="s">
        <v>1274</v>
      </c>
      <c r="AW248" s="2" t="s">
        <v>1276</v>
      </c>
      <c r="BB248" s="2" t="s">
        <v>1281</v>
      </c>
      <c r="BC248" s="2" t="s">
        <v>1282</v>
      </c>
      <c r="BF248" s="2" t="s">
        <v>1285</v>
      </c>
      <c r="BJ248" s="2"/>
    </row>
    <row r="249" spans="1:62" ht="30" customHeight="1" x14ac:dyDescent="0.25">
      <c r="A249" s="1" t="s">
        <v>45</v>
      </c>
      <c r="B249" s="1" t="str">
        <f t="shared" si="3"/>
        <v>Alameda,  Amador,  Butte,  Calaveras,  Colusa,  Contra Costa,  El Dorado,  Fresno,  Glenn,  Imperial,  Kern,  Kings,  Lake,  Lassen,  Los Angeles,  Madera,  Marin,  Mariposa,  Mendocino,  Merced,  Monterey,  Napa,  Orange,  Plumas,  Riverside,  Sacramento,  San Benito,  San Bernardino,  San Diego,  San Francisco,  San Joaquin,  San Luis Obispo,  San Mateo,  Santa Barbara,  Santa Clara,  Santa Cruz,  Sierra,  Solano,  Sonoma,  Stanislaus,  Sutter,  Tehama,  Tulare,  Tuolumne,  Ventura,  Yolo,  Yuba</v>
      </c>
      <c r="C249" s="2" t="s">
        <v>1236</v>
      </c>
      <c r="E249" s="2" t="s">
        <v>1238</v>
      </c>
      <c r="F249" s="2" t="s">
        <v>1239</v>
      </c>
      <c r="G249" s="2" t="s">
        <v>1240</v>
      </c>
      <c r="H249" s="2" t="s">
        <v>1244</v>
      </c>
      <c r="I249" s="2" t="s">
        <v>1245</v>
      </c>
      <c r="K249" s="2" t="s">
        <v>1241</v>
      </c>
      <c r="L249" s="2" t="s">
        <v>1242</v>
      </c>
      <c r="M249" s="2" t="s">
        <v>1243</v>
      </c>
      <c r="O249" s="2" t="s">
        <v>1247</v>
      </c>
      <c r="Q249" s="2" t="s">
        <v>1249</v>
      </c>
      <c r="R249" s="2" t="s">
        <v>1250</v>
      </c>
      <c r="S249" s="2" t="s">
        <v>1251</v>
      </c>
      <c r="T249" s="2" t="s">
        <v>1288</v>
      </c>
      <c r="U249" s="2" t="s">
        <v>1289</v>
      </c>
      <c r="V249" s="2" t="s">
        <v>1252</v>
      </c>
      <c r="W249" s="2" t="s">
        <v>988</v>
      </c>
      <c r="X249" s="2" t="s">
        <v>1253</v>
      </c>
      <c r="Y249" s="2" t="s">
        <v>1254</v>
      </c>
      <c r="Z249" s="2" t="s">
        <v>1255</v>
      </c>
      <c r="AC249" s="2" t="s">
        <v>1257</v>
      </c>
      <c r="AD249" s="2" t="s">
        <v>1258</v>
      </c>
      <c r="AF249" s="2" t="s">
        <v>1260</v>
      </c>
      <c r="AH249" s="2" t="s">
        <v>1262</v>
      </c>
      <c r="AI249" s="2" t="s">
        <v>1263</v>
      </c>
      <c r="AJ249" s="2" t="s">
        <v>1273</v>
      </c>
      <c r="AK249" s="2" t="s">
        <v>1290</v>
      </c>
      <c r="AL249" s="2" t="s">
        <v>1264</v>
      </c>
      <c r="AM249" s="2" t="s">
        <v>1265</v>
      </c>
      <c r="AN249" s="2" t="s">
        <v>1266</v>
      </c>
      <c r="AO249" s="2" t="s">
        <v>1267</v>
      </c>
      <c r="AP249" s="2" t="s">
        <v>1269</v>
      </c>
      <c r="AQ249" s="2" t="s">
        <v>1268</v>
      </c>
      <c r="AR249" s="2" t="s">
        <v>1270</v>
      </c>
      <c r="AS249" s="2" t="s">
        <v>1271</v>
      </c>
      <c r="AT249" s="2" t="s">
        <v>1272</v>
      </c>
      <c r="AV249" s="2" t="s">
        <v>1275</v>
      </c>
      <c r="AX249" s="2" t="s">
        <v>1277</v>
      </c>
      <c r="AY249" s="2" t="s">
        <v>1278</v>
      </c>
      <c r="AZ249" s="2" t="s">
        <v>1279</v>
      </c>
      <c r="BA249" s="2" t="s">
        <v>1280</v>
      </c>
      <c r="BB249" s="2" t="s">
        <v>1281</v>
      </c>
      <c r="BD249" s="2" t="s">
        <v>1283</v>
      </c>
      <c r="BE249" s="2" t="s">
        <v>1284</v>
      </c>
      <c r="BF249" s="2" t="s">
        <v>1285</v>
      </c>
      <c r="BG249" s="2" t="s">
        <v>1286</v>
      </c>
      <c r="BH249" s="2" t="s">
        <v>1287</v>
      </c>
      <c r="BJ249" s="2"/>
    </row>
    <row r="250" spans="1:62" ht="30" customHeight="1" x14ac:dyDescent="0.25">
      <c r="A250" s="1" t="s">
        <v>301</v>
      </c>
      <c r="B250" s="1" t="str">
        <f t="shared" si="3"/>
        <v>Los Angeles,  Orange,  Riverside,  San Bernardino,  San Diego</v>
      </c>
      <c r="C250" s="2"/>
      <c r="U250" s="2" t="s">
        <v>1289</v>
      </c>
      <c r="AF250" s="2" t="s">
        <v>1260</v>
      </c>
      <c r="AI250" s="2" t="s">
        <v>1263</v>
      </c>
      <c r="AL250" s="2" t="s">
        <v>1264</v>
      </c>
      <c r="AM250" s="2" t="s">
        <v>1265</v>
      </c>
      <c r="BJ250" s="2"/>
    </row>
    <row r="251" spans="1:62" ht="30" customHeight="1" x14ac:dyDescent="0.25">
      <c r="A251" s="1" t="s">
        <v>947</v>
      </c>
      <c r="B251" s="1" t="str">
        <f t="shared" si="3"/>
        <v>Santa Cruz</v>
      </c>
      <c r="C251" s="2"/>
      <c r="AT251" s="2" t="s">
        <v>1272</v>
      </c>
      <c r="BJ251" s="2"/>
    </row>
    <row r="252" spans="1:62" ht="30" customHeight="1" x14ac:dyDescent="0.25">
      <c r="A252" s="1" t="s">
        <v>1226</v>
      </c>
      <c r="B252" s="1" t="str">
        <f t="shared" si="3"/>
        <v>Humboldt,  Mendocino,  Siskiyou,  Trinity</v>
      </c>
      <c r="C252" s="2"/>
      <c r="N252" s="2" t="s">
        <v>1246</v>
      </c>
      <c r="Y252" s="2" t="s">
        <v>1254</v>
      </c>
      <c r="AW252" s="2" t="s">
        <v>1276</v>
      </c>
      <c r="BC252" s="2" t="s">
        <v>1282</v>
      </c>
      <c r="BJ252" s="2"/>
    </row>
    <row r="253" spans="1:62" ht="30" customHeight="1" x14ac:dyDescent="0.25">
      <c r="A253" s="1" t="s">
        <v>855</v>
      </c>
      <c r="B253" s="1" t="str">
        <f t="shared" si="3"/>
        <v>Alameda,  Amador,  Calaveras,  Contra Costa,  El Dorado,  Marin,  Monterey,  Napa,  Placer,  Plumas,  Sacramento,  San Francisco,  San Joaquin,  San Mateo,  Santa Clara,  Solano,  Sonoma,  Stanislaus,  Sutter,  Yolo</v>
      </c>
      <c r="C253" s="2" t="s">
        <v>1236</v>
      </c>
      <c r="E253" s="2" t="s">
        <v>1238</v>
      </c>
      <c r="G253" s="2" t="s">
        <v>1240</v>
      </c>
      <c r="I253" s="2" t="s">
        <v>1245</v>
      </c>
      <c r="K253" s="2" t="s">
        <v>1241</v>
      </c>
      <c r="W253" s="2" t="s">
        <v>988</v>
      </c>
      <c r="AC253" s="2" t="s">
        <v>1257</v>
      </c>
      <c r="AD253" s="2" t="s">
        <v>1258</v>
      </c>
      <c r="AG253" s="2" t="s">
        <v>1261</v>
      </c>
      <c r="AH253" s="2" t="s">
        <v>1262</v>
      </c>
      <c r="AJ253" s="2" t="s">
        <v>1273</v>
      </c>
      <c r="AN253" s="2" t="s">
        <v>1266</v>
      </c>
      <c r="AO253" s="2" t="s">
        <v>1267</v>
      </c>
      <c r="AQ253" s="2" t="s">
        <v>1268</v>
      </c>
      <c r="AS253" s="2" t="s">
        <v>1271</v>
      </c>
      <c r="AX253" s="2" t="s">
        <v>1277</v>
      </c>
      <c r="AY253" s="2" t="s">
        <v>1278</v>
      </c>
      <c r="AZ253" s="2" t="s">
        <v>1279</v>
      </c>
      <c r="BA253" s="2" t="s">
        <v>1280</v>
      </c>
      <c r="BG253" s="2" t="s">
        <v>1286</v>
      </c>
      <c r="BJ253" s="2"/>
    </row>
    <row r="254" spans="1:62" ht="30" customHeight="1" x14ac:dyDescent="0.25">
      <c r="A254" s="1" t="s">
        <v>480</v>
      </c>
      <c r="B254" s="1" t="str">
        <f t="shared" si="3"/>
        <v>Marin,  Napa,  Sonoma</v>
      </c>
      <c r="C254" s="2"/>
      <c r="W254" s="2" t="s">
        <v>988</v>
      </c>
      <c r="AD254" s="2" t="s">
        <v>1258</v>
      </c>
      <c r="AY254" s="2" t="s">
        <v>1278</v>
      </c>
      <c r="BJ254" s="2"/>
    </row>
    <row r="255" spans="1:62" ht="30" customHeight="1" x14ac:dyDescent="0.25">
      <c r="A255" s="1" t="s">
        <v>315</v>
      </c>
      <c r="B255" s="1" t="str">
        <f t="shared" si="3"/>
        <v>Alameda,  Amador,  Butte,  Calaveras,  Colusa,  Contra Costa,  El Dorado,  Fresno,  Glenn,  Humboldt,  Napa,  Nevada,  Placer,  Plumas,  Sacramento,  San Francisco,  Solano,  Sonoma,  Stanislaus,  Sutter,  Tehama,  Tuolumne,  Yolo,  Yuba</v>
      </c>
      <c r="C255" s="2" t="s">
        <v>1236</v>
      </c>
      <c r="E255" s="2" t="s">
        <v>1238</v>
      </c>
      <c r="F255" s="2" t="s">
        <v>1239</v>
      </c>
      <c r="G255" s="2" t="s">
        <v>1240</v>
      </c>
      <c r="H255" s="2" t="s">
        <v>1244</v>
      </c>
      <c r="I255" s="2" t="s">
        <v>1245</v>
      </c>
      <c r="K255" s="2" t="s">
        <v>1241</v>
      </c>
      <c r="L255" s="2" t="s">
        <v>1242</v>
      </c>
      <c r="M255" s="2" t="s">
        <v>1243</v>
      </c>
      <c r="N255" s="2" t="s">
        <v>1246</v>
      </c>
      <c r="AD255" s="2" t="s">
        <v>1258</v>
      </c>
      <c r="AE255" s="2" t="s">
        <v>1259</v>
      </c>
      <c r="AG255" s="2" t="s">
        <v>1261</v>
      </c>
      <c r="AH255" s="2" t="s">
        <v>1262</v>
      </c>
      <c r="AJ255" s="2" t="s">
        <v>1273</v>
      </c>
      <c r="AN255" s="2" t="s">
        <v>1266</v>
      </c>
      <c r="AX255" s="2" t="s">
        <v>1277</v>
      </c>
      <c r="AY255" s="2" t="s">
        <v>1278</v>
      </c>
      <c r="AZ255" s="2" t="s">
        <v>1279</v>
      </c>
      <c r="BA255" s="2" t="s">
        <v>1280</v>
      </c>
      <c r="BB255" s="2" t="s">
        <v>1281</v>
      </c>
      <c r="BE255" s="2" t="s">
        <v>1284</v>
      </c>
      <c r="BG255" s="2" t="s">
        <v>1286</v>
      </c>
      <c r="BH255" s="2" t="s">
        <v>1287</v>
      </c>
      <c r="BJ255" s="2"/>
    </row>
    <row r="256" spans="1:62" ht="30" customHeight="1" x14ac:dyDescent="0.25">
      <c r="A256" s="1" t="s">
        <v>927</v>
      </c>
      <c r="B256" s="1" t="str">
        <f t="shared" si="3"/>
        <v>Alameda,  Contra Costa,  Sonoma</v>
      </c>
      <c r="C256" s="2" t="s">
        <v>1236</v>
      </c>
      <c r="I256" s="2" t="s">
        <v>1245</v>
      </c>
      <c r="AY256" s="2" t="s">
        <v>1278</v>
      </c>
      <c r="BJ256" s="2"/>
    </row>
    <row r="257" spans="1:62" ht="30" customHeight="1" x14ac:dyDescent="0.25">
      <c r="A257" s="1" t="s">
        <v>344</v>
      </c>
      <c r="B257" s="1" t="str">
        <f t="shared" si="3"/>
        <v>Alameda,  Los Angeles,  Marin,  Mariposa,  Napa,  Orange,  Riverside,  San Bernardino,  San Diego,  San Francisco,  San Luis Obispo,  Santa Barbara,  Santa Clara,  Sonoma,  Ventura</v>
      </c>
      <c r="C257" s="2" t="s">
        <v>1236</v>
      </c>
      <c r="U257" s="2" t="s">
        <v>1289</v>
      </c>
      <c r="W257" s="2" t="s">
        <v>988</v>
      </c>
      <c r="X257" s="2" t="s">
        <v>1253</v>
      </c>
      <c r="AD257" s="2" t="s">
        <v>1258</v>
      </c>
      <c r="AF257" s="2" t="s">
        <v>1260</v>
      </c>
      <c r="AI257" s="2" t="s">
        <v>1263</v>
      </c>
      <c r="AL257" s="2" t="s">
        <v>1264</v>
      </c>
      <c r="AM257" s="2" t="s">
        <v>1265</v>
      </c>
      <c r="AN257" s="2" t="s">
        <v>1266</v>
      </c>
      <c r="AP257" s="2" t="s">
        <v>1269</v>
      </c>
      <c r="AR257" s="2" t="s">
        <v>1270</v>
      </c>
      <c r="AS257" s="2" t="s">
        <v>1271</v>
      </c>
      <c r="AY257" s="2" t="s">
        <v>1278</v>
      </c>
      <c r="BF257" s="2" t="s">
        <v>1285</v>
      </c>
      <c r="BJ257" s="2"/>
    </row>
    <row r="258" spans="1:62" ht="30" customHeight="1" x14ac:dyDescent="0.25">
      <c r="A258" s="1" t="s">
        <v>902</v>
      </c>
      <c r="B258" s="1" t="str">
        <f t="shared" ref="B258:B261" si="4">_xlfn.TEXTJOIN(",  ",TRUE,C258:BH258)</f>
        <v>Imperial,  Kern,  Los Angeles,  Orange,  Riverside,  San Bernardino,  San Diego,  Santa Barbara</v>
      </c>
      <c r="C258" s="2"/>
      <c r="O258" s="2" t="s">
        <v>1247</v>
      </c>
      <c r="Q258" s="2" t="s">
        <v>1249</v>
      </c>
      <c r="U258" s="2" t="s">
        <v>1289</v>
      </c>
      <c r="AF258" s="2" t="s">
        <v>1260</v>
      </c>
      <c r="AI258" s="2" t="s">
        <v>1263</v>
      </c>
      <c r="AL258" s="2" t="s">
        <v>1264</v>
      </c>
      <c r="AM258" s="2" t="s">
        <v>1265</v>
      </c>
      <c r="AR258" s="2" t="s">
        <v>1270</v>
      </c>
      <c r="BJ258" s="2"/>
    </row>
    <row r="259" spans="1:62" ht="30" customHeight="1" x14ac:dyDescent="0.25">
      <c r="A259" s="1" t="s">
        <v>944</v>
      </c>
      <c r="B259" s="1" t="str">
        <f t="shared" si="4"/>
        <v>Alameda,  Contra Costa,  San Francisco,  San Mateo,  Santa Clara,  Santa Cruz,  Solano</v>
      </c>
      <c r="C259" s="2" t="s">
        <v>1236</v>
      </c>
      <c r="I259" s="2" t="s">
        <v>1245</v>
      </c>
      <c r="AN259" s="2" t="s">
        <v>1266</v>
      </c>
      <c r="AQ259" s="2" t="s">
        <v>1268</v>
      </c>
      <c r="AS259" s="2" t="s">
        <v>1271</v>
      </c>
      <c r="AT259" s="2" t="s">
        <v>1272</v>
      </c>
      <c r="AX259" s="2" t="s">
        <v>1277</v>
      </c>
      <c r="BJ259" s="2"/>
    </row>
    <row r="260" spans="1:62" ht="30" customHeight="1" x14ac:dyDescent="0.25">
      <c r="A260" s="1" t="s">
        <v>871</v>
      </c>
      <c r="B260" s="1" t="str">
        <f t="shared" si="4"/>
        <v>Alameda,  Amador,  Butte,  Contra Costa,  El Dorado,  Fresno,  Imperial,  Inyo,  Kern,  Kings,  Los Angeles,  Marin,  Merced,  Monterey,  Napa,  Nevada,  Orange,  Placer,  Riverside,  Sacramento,  San Benito,  San Bernardino,  San Diego,  San Francisco,  San Joaquin,  San Mateo,  Santa Clara,  Santa Cruz,  Solano,  Stanislaus,  Sutter,  Tulare,  Ventura,  Yolo,  Yuba</v>
      </c>
      <c r="C260" s="2" t="s">
        <v>1236</v>
      </c>
      <c r="E260" s="2" t="s">
        <v>1238</v>
      </c>
      <c r="F260" s="2" t="s">
        <v>1239</v>
      </c>
      <c r="I260" s="2" t="s">
        <v>1245</v>
      </c>
      <c r="K260" s="2" t="s">
        <v>1241</v>
      </c>
      <c r="L260" s="2" t="s">
        <v>1242</v>
      </c>
      <c r="O260" s="2" t="s">
        <v>1247</v>
      </c>
      <c r="P260" s="2" t="s">
        <v>1248</v>
      </c>
      <c r="Q260" s="2" t="s">
        <v>1249</v>
      </c>
      <c r="R260" s="2" t="s">
        <v>1250</v>
      </c>
      <c r="U260" s="2" t="s">
        <v>1289</v>
      </c>
      <c r="W260" s="2" t="s">
        <v>988</v>
      </c>
      <c r="Z260" s="2" t="s">
        <v>1255</v>
      </c>
      <c r="AC260" s="2" t="s">
        <v>1257</v>
      </c>
      <c r="AD260" s="2" t="s">
        <v>1258</v>
      </c>
      <c r="AE260" s="2" t="s">
        <v>1259</v>
      </c>
      <c r="AF260" s="2" t="s">
        <v>1260</v>
      </c>
      <c r="AG260" s="2" t="s">
        <v>1261</v>
      </c>
      <c r="AI260" s="2" t="s">
        <v>1263</v>
      </c>
      <c r="AJ260" s="2" t="s">
        <v>1273</v>
      </c>
      <c r="AK260" s="2" t="s">
        <v>1290</v>
      </c>
      <c r="AL260" s="2" t="s">
        <v>1264</v>
      </c>
      <c r="AM260" s="2" t="s">
        <v>1265</v>
      </c>
      <c r="AN260" s="2" t="s">
        <v>1266</v>
      </c>
      <c r="AO260" s="2" t="s">
        <v>1267</v>
      </c>
      <c r="AQ260" s="2" t="s">
        <v>1268</v>
      </c>
      <c r="AS260" s="2" t="s">
        <v>1271</v>
      </c>
      <c r="AT260" s="2" t="s">
        <v>1272</v>
      </c>
      <c r="AX260" s="2" t="s">
        <v>1277</v>
      </c>
      <c r="AZ260" s="2" t="s">
        <v>1279</v>
      </c>
      <c r="BA260" s="2" t="s">
        <v>1280</v>
      </c>
      <c r="BD260" s="2" t="s">
        <v>1283</v>
      </c>
      <c r="BF260" s="2" t="s">
        <v>1285</v>
      </c>
      <c r="BG260" s="2" t="s">
        <v>1286</v>
      </c>
      <c r="BH260" s="2" t="s">
        <v>1287</v>
      </c>
      <c r="BJ260" s="2"/>
    </row>
    <row r="261" spans="1:62" ht="30" customHeight="1" x14ac:dyDescent="0.25">
      <c r="A261" s="1" t="s">
        <v>885</v>
      </c>
      <c r="B261" s="1" t="str">
        <f t="shared" si="4"/>
        <v>Marin,  Mendocino,  Napa,  Solano,  Sonoma</v>
      </c>
      <c r="C261" s="2"/>
      <c r="W261" s="2" t="s">
        <v>988</v>
      </c>
      <c r="Y261" s="2" t="s">
        <v>1254</v>
      </c>
      <c r="AD261" s="2" t="s">
        <v>1258</v>
      </c>
      <c r="AX261" s="2" t="s">
        <v>1277</v>
      </c>
      <c r="AY261" s="2" t="s">
        <v>1278</v>
      </c>
      <c r="BJ261" s="2"/>
    </row>
  </sheetData>
  <phoneticPr fontId="5"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5284-280F-4E95-8324-6A918DAD869D}">
  <dimension ref="A1:A58"/>
  <sheetViews>
    <sheetView topLeftCell="A42" workbookViewId="0">
      <selection activeCell="A2" sqref="A2"/>
    </sheetView>
  </sheetViews>
  <sheetFormatPr defaultRowHeight="15" x14ac:dyDescent="0.25"/>
  <sheetData>
    <row r="1" spans="1:1" x14ac:dyDescent="0.25">
      <c r="A1" t="s">
        <v>1236</v>
      </c>
    </row>
    <row r="2" spans="1:1" x14ac:dyDescent="0.25">
      <c r="A2" t="s">
        <v>1237</v>
      </c>
    </row>
    <row r="3" spans="1:1" x14ac:dyDescent="0.25">
      <c r="A3" t="s">
        <v>1238</v>
      </c>
    </row>
    <row r="4" spans="1:1" x14ac:dyDescent="0.25">
      <c r="A4" t="s">
        <v>1239</v>
      </c>
    </row>
    <row r="5" spans="1:1" x14ac:dyDescent="0.25">
      <c r="A5" t="s">
        <v>1240</v>
      </c>
    </row>
    <row r="6" spans="1:1" x14ac:dyDescent="0.25">
      <c r="A6" t="s">
        <v>1244</v>
      </c>
    </row>
    <row r="7" spans="1:1" x14ac:dyDescent="0.25">
      <c r="A7" t="s">
        <v>1245</v>
      </c>
    </row>
    <row r="8" spans="1:1" x14ac:dyDescent="0.25">
      <c r="A8" t="s">
        <v>1291</v>
      </c>
    </row>
    <row r="9" spans="1:1" x14ac:dyDescent="0.25">
      <c r="A9" t="s">
        <v>1241</v>
      </c>
    </row>
    <row r="10" spans="1:1" x14ac:dyDescent="0.25">
      <c r="A10" t="s">
        <v>1242</v>
      </c>
    </row>
    <row r="11" spans="1:1" x14ac:dyDescent="0.25">
      <c r="A11" t="s">
        <v>1243</v>
      </c>
    </row>
    <row r="12" spans="1:1" x14ac:dyDescent="0.25">
      <c r="A12" t="s">
        <v>1246</v>
      </c>
    </row>
    <row r="13" spans="1:1" x14ac:dyDescent="0.25">
      <c r="A13" t="s">
        <v>1247</v>
      </c>
    </row>
    <row r="14" spans="1:1" x14ac:dyDescent="0.25">
      <c r="A14" t="s">
        <v>1248</v>
      </c>
    </row>
    <row r="15" spans="1:1" x14ac:dyDescent="0.25">
      <c r="A15" t="s">
        <v>1249</v>
      </c>
    </row>
    <row r="16" spans="1:1" x14ac:dyDescent="0.25">
      <c r="A16" t="s">
        <v>1250</v>
      </c>
    </row>
    <row r="17" spans="1:1" x14ac:dyDescent="0.25">
      <c r="A17" t="s">
        <v>1251</v>
      </c>
    </row>
    <row r="18" spans="1:1" x14ac:dyDescent="0.25">
      <c r="A18" t="s">
        <v>1288</v>
      </c>
    </row>
    <row r="19" spans="1:1" x14ac:dyDescent="0.25">
      <c r="A19" t="s">
        <v>1289</v>
      </c>
    </row>
    <row r="20" spans="1:1" x14ac:dyDescent="0.25">
      <c r="A20" t="s">
        <v>1252</v>
      </c>
    </row>
    <row r="21" spans="1:1" x14ac:dyDescent="0.25">
      <c r="A21" t="s">
        <v>988</v>
      </c>
    </row>
    <row r="22" spans="1:1" x14ac:dyDescent="0.25">
      <c r="A22" t="s">
        <v>1253</v>
      </c>
    </row>
    <row r="23" spans="1:1" x14ac:dyDescent="0.25">
      <c r="A23" t="s">
        <v>1254</v>
      </c>
    </row>
    <row r="24" spans="1:1" x14ac:dyDescent="0.25">
      <c r="A24" t="s">
        <v>1255</v>
      </c>
    </row>
    <row r="25" spans="1:1" x14ac:dyDescent="0.25">
      <c r="A25" t="s">
        <v>1292</v>
      </c>
    </row>
    <row r="26" spans="1:1" x14ac:dyDescent="0.25">
      <c r="A26" t="s">
        <v>1256</v>
      </c>
    </row>
    <row r="27" spans="1:1" x14ac:dyDescent="0.25">
      <c r="A27" t="s">
        <v>1257</v>
      </c>
    </row>
    <row r="28" spans="1:1" x14ac:dyDescent="0.25">
      <c r="A28" t="s">
        <v>1258</v>
      </c>
    </row>
    <row r="29" spans="1:1" x14ac:dyDescent="0.25">
      <c r="A29" t="s">
        <v>1259</v>
      </c>
    </row>
    <row r="30" spans="1:1" x14ac:dyDescent="0.25">
      <c r="A30" t="s">
        <v>1260</v>
      </c>
    </row>
    <row r="31" spans="1:1" x14ac:dyDescent="0.25">
      <c r="A31" t="s">
        <v>1261</v>
      </c>
    </row>
    <row r="32" spans="1:1" x14ac:dyDescent="0.25">
      <c r="A32" t="s">
        <v>1262</v>
      </c>
    </row>
    <row r="33" spans="1:1" x14ac:dyDescent="0.25">
      <c r="A33" t="s">
        <v>1263</v>
      </c>
    </row>
    <row r="34" spans="1:1" x14ac:dyDescent="0.25">
      <c r="A34" t="s">
        <v>1273</v>
      </c>
    </row>
    <row r="35" spans="1:1" x14ac:dyDescent="0.25">
      <c r="A35" t="s">
        <v>1290</v>
      </c>
    </row>
    <row r="36" spans="1:1" x14ac:dyDescent="0.25">
      <c r="A36" t="s">
        <v>1264</v>
      </c>
    </row>
    <row r="37" spans="1:1" x14ac:dyDescent="0.25">
      <c r="A37" t="s">
        <v>1265</v>
      </c>
    </row>
    <row r="38" spans="1:1" x14ac:dyDescent="0.25">
      <c r="A38" t="s">
        <v>1266</v>
      </c>
    </row>
    <row r="39" spans="1:1" x14ac:dyDescent="0.25">
      <c r="A39" t="s">
        <v>1267</v>
      </c>
    </row>
    <row r="40" spans="1:1" x14ac:dyDescent="0.25">
      <c r="A40" t="s">
        <v>1269</v>
      </c>
    </row>
    <row r="41" spans="1:1" x14ac:dyDescent="0.25">
      <c r="A41" t="s">
        <v>1268</v>
      </c>
    </row>
    <row r="42" spans="1:1" x14ac:dyDescent="0.25">
      <c r="A42" t="s">
        <v>1270</v>
      </c>
    </row>
    <row r="43" spans="1:1" x14ac:dyDescent="0.25">
      <c r="A43" t="s">
        <v>1271</v>
      </c>
    </row>
    <row r="44" spans="1:1" x14ac:dyDescent="0.25">
      <c r="A44" t="s">
        <v>1272</v>
      </c>
    </row>
    <row r="45" spans="1:1" x14ac:dyDescent="0.25">
      <c r="A45" t="s">
        <v>1274</v>
      </c>
    </row>
    <row r="46" spans="1:1" x14ac:dyDescent="0.25">
      <c r="A46" t="s">
        <v>1275</v>
      </c>
    </row>
    <row r="47" spans="1:1" x14ac:dyDescent="0.25">
      <c r="A47" t="s">
        <v>1276</v>
      </c>
    </row>
    <row r="48" spans="1:1" x14ac:dyDescent="0.25">
      <c r="A48" t="s">
        <v>1277</v>
      </c>
    </row>
    <row r="49" spans="1:1" x14ac:dyDescent="0.25">
      <c r="A49" t="s">
        <v>1278</v>
      </c>
    </row>
    <row r="50" spans="1:1" x14ac:dyDescent="0.25">
      <c r="A50" t="s">
        <v>1279</v>
      </c>
    </row>
    <row r="51" spans="1:1" x14ac:dyDescent="0.25">
      <c r="A51" t="s">
        <v>1280</v>
      </c>
    </row>
    <row r="52" spans="1:1" x14ac:dyDescent="0.25">
      <c r="A52" t="s">
        <v>1281</v>
      </c>
    </row>
    <row r="53" spans="1:1" x14ac:dyDescent="0.25">
      <c r="A53" t="s">
        <v>1282</v>
      </c>
    </row>
    <row r="54" spans="1:1" x14ac:dyDescent="0.25">
      <c r="A54" t="s">
        <v>1283</v>
      </c>
    </row>
    <row r="55" spans="1:1" x14ac:dyDescent="0.25">
      <c r="A55" t="s">
        <v>1284</v>
      </c>
    </row>
    <row r="56" spans="1:1" x14ac:dyDescent="0.25">
      <c r="A56" t="s">
        <v>1285</v>
      </c>
    </row>
    <row r="57" spans="1:1" x14ac:dyDescent="0.25">
      <c r="A57" t="s">
        <v>1286</v>
      </c>
    </row>
    <row r="58" spans="1:1" x14ac:dyDescent="0.25">
      <c r="A58" t="s">
        <v>1287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49D4-2F4C-436A-A7AD-A674124E8E76}">
  <dimension ref="A1:AH261"/>
  <sheetViews>
    <sheetView topLeftCell="A52" workbookViewId="0">
      <selection activeCell="B62" sqref="B62"/>
    </sheetView>
  </sheetViews>
  <sheetFormatPr defaultColWidth="4.7109375" defaultRowHeight="30" customHeight="1" x14ac:dyDescent="0.25"/>
  <cols>
    <col min="2" max="2" width="21.85546875" customWidth="1"/>
  </cols>
  <sheetData>
    <row r="1" spans="1:34" ht="30" customHeight="1" x14ac:dyDescent="0.25">
      <c r="A1" s="15" t="s">
        <v>847</v>
      </c>
      <c r="B1" s="21" t="s">
        <v>1342</v>
      </c>
      <c r="C1" s="16" t="s">
        <v>1310</v>
      </c>
      <c r="D1" s="17" t="s">
        <v>1299</v>
      </c>
      <c r="E1" s="16" t="s">
        <v>1311</v>
      </c>
      <c r="F1" s="17" t="s">
        <v>1312</v>
      </c>
      <c r="G1" s="16" t="s">
        <v>1313</v>
      </c>
      <c r="H1" s="17" t="s">
        <v>1314</v>
      </c>
      <c r="I1" s="16" t="s">
        <v>1315</v>
      </c>
      <c r="J1" s="17" t="s">
        <v>1316</v>
      </c>
      <c r="K1" s="16" t="s">
        <v>1317</v>
      </c>
      <c r="L1" s="17" t="s">
        <v>1318</v>
      </c>
      <c r="M1" s="16" t="s">
        <v>1319</v>
      </c>
      <c r="N1" s="17" t="s">
        <v>1320</v>
      </c>
      <c r="O1" s="16" t="s">
        <v>1321</v>
      </c>
      <c r="P1" s="17" t="s">
        <v>1322</v>
      </c>
      <c r="Q1" s="16" t="s">
        <v>1323</v>
      </c>
      <c r="R1" s="17" t="s">
        <v>1324</v>
      </c>
      <c r="S1" s="16" t="s">
        <v>1325</v>
      </c>
      <c r="T1" s="17" t="s">
        <v>1326</v>
      </c>
      <c r="U1" s="16" t="s">
        <v>1327</v>
      </c>
      <c r="V1" s="17" t="s">
        <v>1328</v>
      </c>
      <c r="W1" s="16" t="s">
        <v>1329</v>
      </c>
      <c r="X1" s="17" t="s">
        <v>1330</v>
      </c>
      <c r="Y1" s="16" t="s">
        <v>1331</v>
      </c>
      <c r="Z1" s="17" t="s">
        <v>1332</v>
      </c>
      <c r="AA1" s="16" t="s">
        <v>1333</v>
      </c>
      <c r="AB1" s="17" t="s">
        <v>1334</v>
      </c>
      <c r="AC1" s="16" t="s">
        <v>1335</v>
      </c>
      <c r="AD1" s="17" t="s">
        <v>1336</v>
      </c>
      <c r="AE1" s="16" t="s">
        <v>1337</v>
      </c>
      <c r="AF1" s="17" t="s">
        <v>1338</v>
      </c>
      <c r="AG1" s="16" t="s">
        <v>1339</v>
      </c>
      <c r="AH1" s="17" t="s">
        <v>1340</v>
      </c>
    </row>
    <row r="2" spans="1:34" ht="30" customHeight="1" x14ac:dyDescent="0.25">
      <c r="A2" s="1" t="s">
        <v>857</v>
      </c>
      <c r="B2" s="1" t="str">
        <f>_xlfn.TEXTJOIN(",  ",TRUE,Table24[[#This Row],[Column 1]:[Column 32]])</f>
        <v>English,  Korean,  Spanish</v>
      </c>
      <c r="C2" s="2" t="s">
        <v>1297</v>
      </c>
      <c r="D2" s="2"/>
      <c r="E2" s="2"/>
      <c r="F2" s="2"/>
      <c r="G2" s="2"/>
      <c r="H2" s="2"/>
      <c r="I2" s="2"/>
      <c r="J2" s="2"/>
      <c r="K2" s="2"/>
      <c r="L2" s="2"/>
      <c r="M2" s="2"/>
      <c r="N2" s="2"/>
      <c r="O2" s="2"/>
      <c r="P2" s="2"/>
      <c r="Q2" s="2"/>
      <c r="R2" s="2"/>
      <c r="S2" s="2"/>
      <c r="T2" s="2" t="s">
        <v>21</v>
      </c>
      <c r="U2" s="2"/>
      <c r="V2" s="2"/>
      <c r="W2" s="2"/>
      <c r="X2" s="2"/>
      <c r="Y2" s="2"/>
      <c r="Z2" s="2"/>
      <c r="AA2" s="2"/>
      <c r="AB2" s="2" t="s">
        <v>28</v>
      </c>
      <c r="AC2" s="2"/>
      <c r="AD2" s="2"/>
      <c r="AE2" s="2"/>
      <c r="AF2" s="2"/>
      <c r="AG2" s="2"/>
      <c r="AH2" s="2"/>
    </row>
    <row r="3" spans="1:34" ht="30" customHeight="1" x14ac:dyDescent="0.25">
      <c r="A3" s="1" t="s">
        <v>863</v>
      </c>
      <c r="B3" s="1" t="str">
        <f>_xlfn.TEXTJOIN(",  ",TRUE,Table24[[#This Row],[Column 1]:[Column 32]])</f>
        <v>English,  Armenian,  Spanish</v>
      </c>
      <c r="C3" s="2" t="s">
        <v>1297</v>
      </c>
      <c r="D3" s="2"/>
      <c r="E3" s="2"/>
      <c r="F3" s="2"/>
      <c r="G3" s="2"/>
      <c r="H3" s="2" t="s">
        <v>9</v>
      </c>
      <c r="I3" s="2"/>
      <c r="J3" s="2"/>
      <c r="K3" s="2"/>
      <c r="L3" s="2"/>
      <c r="M3" s="2"/>
      <c r="N3" s="2"/>
      <c r="O3" s="2"/>
      <c r="P3" s="2"/>
      <c r="Q3" s="2"/>
      <c r="R3" s="2"/>
      <c r="S3" s="2"/>
      <c r="T3" s="2"/>
      <c r="U3" s="2"/>
      <c r="V3" s="2"/>
      <c r="W3" s="2"/>
      <c r="X3" s="2"/>
      <c r="Y3" s="2"/>
      <c r="Z3" s="2"/>
      <c r="AA3" s="2"/>
      <c r="AB3" s="2" t="s">
        <v>28</v>
      </c>
      <c r="AC3" s="2"/>
      <c r="AD3" s="2"/>
      <c r="AE3" s="2"/>
      <c r="AF3" s="2"/>
      <c r="AG3" s="2"/>
      <c r="AH3" s="2"/>
    </row>
    <row r="4" spans="1:34" ht="30" customHeight="1" x14ac:dyDescent="0.25">
      <c r="A4" s="1" t="s">
        <v>240</v>
      </c>
      <c r="B4" s="1" t="str">
        <f>_xlfn.TEXTJOIN(",  ",TRUE,Table24[[#This Row],[Column 1]:[Column 32]])</f>
        <v>English,  Spanish</v>
      </c>
      <c r="C4" s="2" t="s">
        <v>1297</v>
      </c>
      <c r="D4" s="2"/>
      <c r="E4" s="2"/>
      <c r="F4" s="2"/>
      <c r="G4" s="2"/>
      <c r="H4" s="2"/>
      <c r="I4" s="2"/>
      <c r="J4" s="2"/>
      <c r="K4" s="2"/>
      <c r="L4" s="2"/>
      <c r="M4" s="2"/>
      <c r="N4" s="2"/>
      <c r="O4" s="2"/>
      <c r="P4" s="2"/>
      <c r="Q4" s="2"/>
      <c r="R4" s="2"/>
      <c r="S4" s="2"/>
      <c r="T4" s="2"/>
      <c r="U4" s="2"/>
      <c r="V4" s="2"/>
      <c r="W4" s="2"/>
      <c r="X4" s="2"/>
      <c r="Y4" s="2"/>
      <c r="Z4" s="2"/>
      <c r="AA4" s="2"/>
      <c r="AB4" s="2" t="s">
        <v>28</v>
      </c>
      <c r="AC4" s="2"/>
      <c r="AD4" s="2"/>
      <c r="AE4" s="2"/>
      <c r="AF4" s="2"/>
      <c r="AG4" s="2"/>
      <c r="AH4" s="2"/>
    </row>
    <row r="5" spans="1:34" ht="30" customHeight="1" x14ac:dyDescent="0.25">
      <c r="A5" s="1" t="s">
        <v>214</v>
      </c>
      <c r="B5" s="1" t="str">
        <f>_xlfn.TEXTJOIN(",  ",TRUE,Table24[[#This Row],[Column 1]:[Column 32]])</f>
        <v>English Only</v>
      </c>
      <c r="C5" s="2" t="s">
        <v>4</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30" customHeight="1" x14ac:dyDescent="0.25">
      <c r="A6" s="1" t="s">
        <v>866</v>
      </c>
      <c r="B6" s="1" t="str">
        <f>_xlfn.TEXTJOIN(",  ",TRUE,Table24[[#This Row],[Column 1]:[Column 32]])</f>
        <v>English,  Spanish</v>
      </c>
      <c r="C6" s="2" t="s">
        <v>1297</v>
      </c>
      <c r="D6" s="2"/>
      <c r="E6" s="2"/>
      <c r="F6" s="2"/>
      <c r="G6" s="2"/>
      <c r="H6" s="2"/>
      <c r="I6" s="2"/>
      <c r="J6" s="2"/>
      <c r="K6" s="2"/>
      <c r="L6" s="2"/>
      <c r="M6" s="2"/>
      <c r="N6" s="2"/>
      <c r="O6" s="2"/>
      <c r="P6" s="2"/>
      <c r="Q6" s="2"/>
      <c r="R6" s="2"/>
      <c r="S6" s="2"/>
      <c r="T6" s="2"/>
      <c r="U6" s="2"/>
      <c r="V6" s="2"/>
      <c r="W6" s="2"/>
      <c r="X6" s="2"/>
      <c r="Y6" s="2"/>
      <c r="Z6" s="2"/>
      <c r="AA6" s="2"/>
      <c r="AB6" s="2" t="s">
        <v>28</v>
      </c>
      <c r="AC6" s="2"/>
      <c r="AD6" s="2"/>
      <c r="AE6" s="2"/>
      <c r="AF6" s="2"/>
      <c r="AG6" s="2"/>
      <c r="AH6" s="2"/>
    </row>
    <row r="7" spans="1:34" ht="30" customHeight="1" x14ac:dyDescent="0.25">
      <c r="A7" s="1" t="s">
        <v>71</v>
      </c>
      <c r="B7" s="1" t="str">
        <f>_xlfn.TEXTJOIN(",  ",TRUE,Table24[[#This Row],[Column 1]:[Column 32]])</f>
        <v>English,  Spanish</v>
      </c>
      <c r="C7" s="2" t="s">
        <v>1297</v>
      </c>
      <c r="D7" s="2"/>
      <c r="E7" s="2"/>
      <c r="F7" s="2"/>
      <c r="G7" s="2"/>
      <c r="H7" s="2"/>
      <c r="I7" s="2"/>
      <c r="J7" s="2"/>
      <c r="K7" s="2"/>
      <c r="L7" s="2"/>
      <c r="M7" s="2"/>
      <c r="N7" s="2"/>
      <c r="O7" s="2"/>
      <c r="P7" s="2"/>
      <c r="Q7" s="2"/>
      <c r="R7" s="2"/>
      <c r="S7" s="2"/>
      <c r="T7" s="2"/>
      <c r="U7" s="2"/>
      <c r="V7" s="2"/>
      <c r="W7" s="2"/>
      <c r="X7" s="2"/>
      <c r="Y7" s="2"/>
      <c r="Z7" s="2"/>
      <c r="AA7" s="2"/>
      <c r="AB7" s="2" t="s">
        <v>28</v>
      </c>
      <c r="AC7" s="2"/>
      <c r="AD7" s="2"/>
      <c r="AE7" s="2"/>
      <c r="AF7" s="2"/>
      <c r="AG7" s="2"/>
      <c r="AH7" s="2"/>
    </row>
    <row r="8" spans="1:34" ht="30" customHeight="1" x14ac:dyDescent="0.25">
      <c r="A8" s="1" t="s">
        <v>1233</v>
      </c>
      <c r="B8" s="1" t="str">
        <f>_xlfn.TEXTJOIN(",  ",TRUE,Table24[[#This Row],[Column 1]:[Column 32]])</f>
        <v>English Only</v>
      </c>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0" customHeight="1" x14ac:dyDescent="0.25">
      <c r="A9" s="1" t="s">
        <v>907</v>
      </c>
      <c r="B9" s="1" t="str">
        <f>_xlfn.TEXTJOIN(",  ",TRUE,Table24[[#This Row],[Column 1]:[Column 32]])</f>
        <v>English,  Spanish</v>
      </c>
      <c r="C9" s="2" t="s">
        <v>1297</v>
      </c>
      <c r="D9" s="2"/>
      <c r="E9" s="2"/>
      <c r="F9" s="2"/>
      <c r="G9" s="2"/>
      <c r="H9" s="2"/>
      <c r="I9" s="2"/>
      <c r="J9" s="2"/>
      <c r="K9" s="2"/>
      <c r="L9" s="2"/>
      <c r="M9" s="2"/>
      <c r="N9" s="2"/>
      <c r="O9" s="2"/>
      <c r="P9" s="2"/>
      <c r="Q9" s="2"/>
      <c r="R9" s="2"/>
      <c r="S9" s="2"/>
      <c r="T9" s="2"/>
      <c r="U9" s="2"/>
      <c r="V9" s="2"/>
      <c r="W9" s="2"/>
      <c r="X9" s="2"/>
      <c r="Y9" s="2"/>
      <c r="Z9" s="2"/>
      <c r="AA9" s="2"/>
      <c r="AB9" s="2" t="s">
        <v>28</v>
      </c>
      <c r="AC9" s="2"/>
      <c r="AD9" s="2"/>
      <c r="AE9" s="2"/>
      <c r="AF9" s="2"/>
      <c r="AG9" s="2"/>
      <c r="AH9" s="2"/>
    </row>
    <row r="10" spans="1:34" ht="30" customHeight="1" x14ac:dyDescent="0.25">
      <c r="A10" s="1" t="s">
        <v>458</v>
      </c>
      <c r="B10" s="1" t="str">
        <f>_xlfn.TEXTJOIN(",  ",TRUE,Table24[[#This Row],[Column 1]:[Column 32]])</f>
        <v>English Only</v>
      </c>
      <c r="C10" s="2" t="s">
        <v>4</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30" customHeight="1" x14ac:dyDescent="0.25">
      <c r="A11" s="1" t="s">
        <v>208</v>
      </c>
      <c r="B11" s="1" t="str">
        <f>_xlfn.TEXTJOIN(",  ",TRUE,Table24[[#This Row],[Column 1]:[Column 32]])</f>
        <v>English Only</v>
      </c>
      <c r="C11" s="2" t="s">
        <v>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0" customHeight="1" x14ac:dyDescent="0.25">
      <c r="A12" s="1" t="s">
        <v>906</v>
      </c>
      <c r="B12" s="1" t="str">
        <f>_xlfn.TEXTJOIN(",  ",TRUE,Table24[[#This Row],[Column 1]:[Column 32]])</f>
        <v>English,  Spanish,  Tagalog</v>
      </c>
      <c r="C12" s="2" t="s">
        <v>1297</v>
      </c>
      <c r="D12" s="2"/>
      <c r="E12" s="2"/>
      <c r="F12" s="2"/>
      <c r="G12" s="2"/>
      <c r="H12" s="2"/>
      <c r="I12" s="2"/>
      <c r="J12" s="2"/>
      <c r="K12" s="2"/>
      <c r="L12" s="2"/>
      <c r="M12" s="2"/>
      <c r="N12" s="2"/>
      <c r="O12" s="2"/>
      <c r="P12" s="2"/>
      <c r="Q12" s="2"/>
      <c r="R12" s="2"/>
      <c r="S12" s="2"/>
      <c r="T12" s="2"/>
      <c r="U12" s="2"/>
      <c r="V12" s="2"/>
      <c r="W12" s="2"/>
      <c r="X12" s="2"/>
      <c r="Y12" s="2"/>
      <c r="Z12" s="2"/>
      <c r="AA12" s="2"/>
      <c r="AB12" s="2" t="s">
        <v>28</v>
      </c>
      <c r="AC12" s="2"/>
      <c r="AD12" s="2" t="s">
        <v>30</v>
      </c>
      <c r="AE12" s="2"/>
      <c r="AF12" s="2"/>
      <c r="AG12" s="2"/>
      <c r="AH12" s="2"/>
    </row>
    <row r="13" spans="1:34" ht="30" customHeight="1" x14ac:dyDescent="0.25">
      <c r="A13" s="1" t="s">
        <v>1295</v>
      </c>
      <c r="B13" s="1" t="str">
        <f>_xlfn.TEXTJOIN(",  ",TRUE,Table24[[#This Row],[Column 1]:[Column 32]])</f>
        <v>English,  Cantonese,  Mandarin</v>
      </c>
      <c r="C13" s="2" t="s">
        <v>1297</v>
      </c>
      <c r="D13" s="2"/>
      <c r="E13" s="2"/>
      <c r="F13" s="2"/>
      <c r="G13" s="2"/>
      <c r="H13" s="2"/>
      <c r="I13" s="2"/>
      <c r="J13" s="2"/>
      <c r="K13" s="2" t="s">
        <v>12</v>
      </c>
      <c r="L13" s="2"/>
      <c r="M13" s="2"/>
      <c r="N13" s="2"/>
      <c r="O13" s="2"/>
      <c r="P13" s="2"/>
      <c r="Q13" s="2"/>
      <c r="R13" s="2"/>
      <c r="S13" s="2"/>
      <c r="T13" s="2"/>
      <c r="U13" s="2"/>
      <c r="V13" s="2" t="s">
        <v>23</v>
      </c>
      <c r="W13" s="2"/>
      <c r="X13" s="2"/>
      <c r="Y13" s="2"/>
      <c r="Z13" s="2"/>
      <c r="AA13" s="2"/>
      <c r="AB13" s="2"/>
      <c r="AC13" s="2"/>
      <c r="AD13" s="2"/>
      <c r="AE13" s="2"/>
      <c r="AF13" s="2"/>
      <c r="AG13" s="2"/>
      <c r="AH13" s="2"/>
    </row>
    <row r="14" spans="1:34" ht="30" customHeight="1" x14ac:dyDescent="0.25">
      <c r="A14" s="1" t="s">
        <v>941</v>
      </c>
      <c r="B14" s="1" t="str">
        <f>_xlfn.TEXTJOIN(",  ",TRUE,Table24[[#This Row],[Column 1]:[Column 32]])</f>
        <v>English,  Cantonese,  Mandarin</v>
      </c>
      <c r="C14" s="2" t="s">
        <v>1297</v>
      </c>
      <c r="D14" s="2"/>
      <c r="E14" s="2"/>
      <c r="F14" s="2"/>
      <c r="G14" s="2"/>
      <c r="H14" s="2"/>
      <c r="I14" s="2"/>
      <c r="J14" s="2"/>
      <c r="K14" s="2" t="s">
        <v>12</v>
      </c>
      <c r="L14" s="2"/>
      <c r="M14" s="2"/>
      <c r="N14" s="2"/>
      <c r="O14" s="2"/>
      <c r="P14" s="2"/>
      <c r="Q14" s="2"/>
      <c r="R14" s="2"/>
      <c r="S14" s="2"/>
      <c r="T14" s="2"/>
      <c r="U14" s="2"/>
      <c r="V14" s="2" t="s">
        <v>23</v>
      </c>
      <c r="W14" s="2"/>
      <c r="X14" s="2"/>
      <c r="Y14" s="2"/>
      <c r="Z14" s="2"/>
      <c r="AA14" s="2"/>
      <c r="AB14" s="2"/>
      <c r="AC14" s="2"/>
      <c r="AD14" s="2"/>
      <c r="AE14" s="2"/>
      <c r="AF14" s="2"/>
      <c r="AG14" s="2"/>
      <c r="AH14" s="2"/>
    </row>
    <row r="15" spans="1:34" ht="30" customHeight="1" x14ac:dyDescent="0.25">
      <c r="A15" s="1" t="s">
        <v>122</v>
      </c>
      <c r="B15" s="1" t="str">
        <f>_xlfn.TEXTJOIN(",  ",TRUE,Table24[[#This Row],[Column 1]:[Column 32]])</f>
        <v>English,  Arabic,  Farsi,  Korean,  Spanish</v>
      </c>
      <c r="C15" s="2" t="s">
        <v>1297</v>
      </c>
      <c r="D15" s="2"/>
      <c r="E15" s="2"/>
      <c r="F15" s="2"/>
      <c r="G15" s="2" t="s">
        <v>8</v>
      </c>
      <c r="H15" s="2"/>
      <c r="I15" s="2"/>
      <c r="J15" s="2"/>
      <c r="K15" s="2"/>
      <c r="L15" s="2"/>
      <c r="M15" s="2"/>
      <c r="N15" s="2" t="s">
        <v>15</v>
      </c>
      <c r="O15" s="2"/>
      <c r="P15" s="2"/>
      <c r="Q15" s="2"/>
      <c r="R15" s="2"/>
      <c r="S15" s="2"/>
      <c r="T15" s="2" t="s">
        <v>21</v>
      </c>
      <c r="U15" s="2"/>
      <c r="V15" s="2"/>
      <c r="W15" s="2"/>
      <c r="X15" s="2"/>
      <c r="Y15" s="2"/>
      <c r="Z15" s="2"/>
      <c r="AA15" s="2"/>
      <c r="AB15" s="2" t="s">
        <v>28</v>
      </c>
      <c r="AC15" s="2"/>
      <c r="AD15" s="2"/>
      <c r="AE15" s="2"/>
      <c r="AF15" s="2"/>
      <c r="AG15" s="2"/>
      <c r="AH15" s="2"/>
    </row>
    <row r="16" spans="1:34" ht="30" customHeight="1" x14ac:dyDescent="0.25">
      <c r="A16" s="1" t="s">
        <v>881</v>
      </c>
      <c r="B16" s="1" t="str">
        <f>_xlfn.TEXTJOIN(",  ",TRUE,Table24[[#This Row],[Column 1]:[Column 32]])</f>
        <v>English,  Spanish</v>
      </c>
      <c r="C16" s="2" t="s">
        <v>1297</v>
      </c>
      <c r="D16" s="2"/>
      <c r="E16" s="2"/>
      <c r="F16" s="2"/>
      <c r="G16" s="2"/>
      <c r="H16" s="2"/>
      <c r="I16" s="2"/>
      <c r="J16" s="2"/>
      <c r="K16" s="2"/>
      <c r="L16" s="2"/>
      <c r="M16" s="2"/>
      <c r="N16" s="2"/>
      <c r="O16" s="2"/>
      <c r="P16" s="2"/>
      <c r="Q16" s="2"/>
      <c r="R16" s="2"/>
      <c r="S16" s="2"/>
      <c r="T16" s="2"/>
      <c r="U16" s="2"/>
      <c r="V16" s="2"/>
      <c r="W16" s="2"/>
      <c r="X16" s="2"/>
      <c r="Y16" s="2"/>
      <c r="Z16" s="2"/>
      <c r="AA16" s="2"/>
      <c r="AB16" s="2" t="s">
        <v>28</v>
      </c>
      <c r="AC16" s="2"/>
      <c r="AD16" s="2"/>
      <c r="AE16" s="2"/>
      <c r="AF16" s="2"/>
      <c r="AG16" s="2"/>
      <c r="AH16" s="2"/>
    </row>
    <row r="17" spans="1:34" ht="30" customHeight="1" x14ac:dyDescent="0.25">
      <c r="A17" s="1" t="s">
        <v>936</v>
      </c>
      <c r="B17" s="1" t="str">
        <f>_xlfn.TEXTJOIN(",  ",TRUE,Table24[[#This Row],[Column 1]:[Column 32]])</f>
        <v>English,  Spanish</v>
      </c>
      <c r="C17" s="2" t="s">
        <v>1297</v>
      </c>
      <c r="D17" s="2"/>
      <c r="E17" s="2"/>
      <c r="F17" s="2"/>
      <c r="G17" s="2"/>
      <c r="H17" s="2"/>
      <c r="I17" s="2"/>
      <c r="J17" s="2"/>
      <c r="K17" s="2"/>
      <c r="L17" s="2"/>
      <c r="M17" s="2"/>
      <c r="N17" s="2"/>
      <c r="O17" s="2"/>
      <c r="P17" s="2"/>
      <c r="Q17" s="2"/>
      <c r="R17" s="2"/>
      <c r="S17" s="2"/>
      <c r="T17" s="2"/>
      <c r="U17" s="2"/>
      <c r="V17" s="2"/>
      <c r="W17" s="2"/>
      <c r="X17" s="2"/>
      <c r="Y17" s="2"/>
      <c r="Z17" s="2"/>
      <c r="AA17" s="2"/>
      <c r="AB17" s="2" t="s">
        <v>28</v>
      </c>
      <c r="AC17" s="2"/>
      <c r="AD17" s="2"/>
      <c r="AE17" s="2"/>
      <c r="AF17" s="2"/>
      <c r="AG17" s="2"/>
      <c r="AH17" s="2"/>
    </row>
    <row r="18" spans="1:34" ht="30" customHeight="1" x14ac:dyDescent="0.25">
      <c r="A18" s="1" t="s">
        <v>87</v>
      </c>
      <c r="B18" s="1" t="str">
        <f>_xlfn.TEXTJOIN(",  ",TRUE,Table24[[#This Row],[Column 1]:[Column 32]])</f>
        <v>English Only</v>
      </c>
      <c r="C18" s="2" t="s">
        <v>4</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30" customHeight="1" x14ac:dyDescent="0.25">
      <c r="A19" s="1" t="s">
        <v>377</v>
      </c>
      <c r="B19" s="1" t="str">
        <f>_xlfn.TEXTJOIN(",  ",TRUE,Table24[[#This Row],[Column 1]:[Column 32]])</f>
        <v>English,  Spanish</v>
      </c>
      <c r="C19" s="2" t="s">
        <v>1297</v>
      </c>
      <c r="D19" s="2"/>
      <c r="E19" s="2"/>
      <c r="F19" s="2"/>
      <c r="G19" s="2"/>
      <c r="H19" s="2"/>
      <c r="I19" s="2"/>
      <c r="J19" s="2"/>
      <c r="K19" s="2"/>
      <c r="L19" s="2"/>
      <c r="M19" s="2"/>
      <c r="N19" s="2"/>
      <c r="O19" s="2"/>
      <c r="P19" s="2"/>
      <c r="Q19" s="2"/>
      <c r="R19" s="2"/>
      <c r="S19" s="2"/>
      <c r="T19" s="2"/>
      <c r="U19" s="2"/>
      <c r="V19" s="2"/>
      <c r="W19" s="2"/>
      <c r="X19" s="2"/>
      <c r="Y19" s="2"/>
      <c r="Z19" s="2"/>
      <c r="AA19" s="2"/>
      <c r="AB19" s="2" t="s">
        <v>28</v>
      </c>
      <c r="AC19" s="2"/>
      <c r="AD19" s="2"/>
      <c r="AE19" s="2"/>
      <c r="AF19" s="2"/>
      <c r="AG19" s="2"/>
      <c r="AH19" s="2"/>
    </row>
    <row r="20" spans="1:34" ht="30" customHeight="1" x14ac:dyDescent="0.25">
      <c r="A20" s="1" t="s">
        <v>915</v>
      </c>
      <c r="B20" s="1" t="str">
        <f>_xlfn.TEXTJOIN(",  ",TRUE,Table24[[#This Row],[Column 1]:[Column 32]])</f>
        <v>English,  Spanish</v>
      </c>
      <c r="C20" s="2" t="s">
        <v>1297</v>
      </c>
      <c r="D20" s="2"/>
      <c r="E20" s="2"/>
      <c r="F20" s="2"/>
      <c r="G20" s="2"/>
      <c r="H20" s="2"/>
      <c r="I20" s="2"/>
      <c r="J20" s="2"/>
      <c r="K20" s="2"/>
      <c r="L20" s="2"/>
      <c r="M20" s="2"/>
      <c r="N20" s="2"/>
      <c r="O20" s="2"/>
      <c r="P20" s="2"/>
      <c r="Q20" s="2"/>
      <c r="R20" s="2"/>
      <c r="S20" s="2"/>
      <c r="T20" s="2"/>
      <c r="U20" s="2"/>
      <c r="V20" s="2"/>
      <c r="W20" s="2"/>
      <c r="X20" s="2"/>
      <c r="Y20" s="2"/>
      <c r="Z20" s="2"/>
      <c r="AA20" s="2"/>
      <c r="AB20" s="2" t="s">
        <v>28</v>
      </c>
      <c r="AC20" s="2"/>
      <c r="AD20" s="2"/>
      <c r="AE20" s="2"/>
      <c r="AF20" s="2"/>
      <c r="AG20" s="2"/>
      <c r="AH20" s="2"/>
    </row>
    <row r="21" spans="1:34" ht="30" customHeight="1" x14ac:dyDescent="0.25">
      <c r="A21" s="1" t="s">
        <v>383</v>
      </c>
      <c r="B21" s="1" t="str">
        <f>_xlfn.TEXTJOIN(",  ",TRUE,Table24[[#This Row],[Column 1]:[Column 32]])</f>
        <v>English Only</v>
      </c>
      <c r="C21" s="2" t="s">
        <v>4</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30" customHeight="1" x14ac:dyDescent="0.25">
      <c r="A22" s="1" t="s">
        <v>293</v>
      </c>
      <c r="B22" s="1" t="str">
        <f>_xlfn.TEXTJOIN(",  ",TRUE,Table24[[#This Row],[Column 1]:[Column 32]])</f>
        <v>English Only</v>
      </c>
      <c r="C22" s="2" t="s">
        <v>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30" customHeight="1" x14ac:dyDescent="0.25">
      <c r="A23" s="1" t="s">
        <v>401</v>
      </c>
      <c r="B23" s="1" t="str">
        <f>_xlfn.TEXTJOIN(",  ",TRUE,Table24[[#This Row],[Column 1]:[Column 32]])</f>
        <v>English,  Spanish</v>
      </c>
      <c r="C23" s="2" t="s">
        <v>1297</v>
      </c>
      <c r="D23" s="2"/>
      <c r="E23" s="2"/>
      <c r="F23" s="2"/>
      <c r="G23" s="2"/>
      <c r="H23" s="2"/>
      <c r="I23" s="2"/>
      <c r="J23" s="2"/>
      <c r="K23" s="2"/>
      <c r="L23" s="2"/>
      <c r="M23" s="2"/>
      <c r="N23" s="2"/>
      <c r="O23" s="2"/>
      <c r="P23" s="2"/>
      <c r="Q23" s="2"/>
      <c r="R23" s="2"/>
      <c r="S23" s="2"/>
      <c r="T23" s="2"/>
      <c r="U23" s="2"/>
      <c r="V23" s="2"/>
      <c r="W23" s="2"/>
      <c r="X23" s="2"/>
      <c r="Y23" s="2"/>
      <c r="Z23" s="2"/>
      <c r="AA23" s="2"/>
      <c r="AB23" s="2" t="s">
        <v>28</v>
      </c>
      <c r="AC23" s="2"/>
      <c r="AD23" s="2"/>
      <c r="AE23" s="2"/>
      <c r="AF23" s="2"/>
      <c r="AG23" s="2"/>
      <c r="AH23" s="2"/>
    </row>
    <row r="24" spans="1:34" ht="30" customHeight="1" x14ac:dyDescent="0.25">
      <c r="A24" s="1" t="s">
        <v>471</v>
      </c>
      <c r="B24" s="1" t="str">
        <f>_xlfn.TEXTJOIN(",  ",TRUE,Table24[[#This Row],[Column 1]:[Column 32]])</f>
        <v>English Only</v>
      </c>
      <c r="C24" s="2" t="s">
        <v>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30" customHeight="1" x14ac:dyDescent="0.25">
      <c r="A25" s="1" t="s">
        <v>883</v>
      </c>
      <c r="B25" s="1" t="str">
        <f>_xlfn.TEXTJOIN(",  ",TRUE,Table24[[#This Row],[Column 1]:[Column 32]])</f>
        <v>English Only</v>
      </c>
      <c r="C25" s="2" t="s">
        <v>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30" customHeight="1" x14ac:dyDescent="0.25">
      <c r="A26" s="1" t="s">
        <v>360</v>
      </c>
      <c r="B26" s="1" t="str">
        <f>_xlfn.TEXTJOIN(",  ",TRUE,Table24[[#This Row],[Column 1]:[Column 32]])</f>
        <v>English,  Spanish</v>
      </c>
      <c r="C26" s="2" t="s">
        <v>1297</v>
      </c>
      <c r="D26" s="2"/>
      <c r="E26" s="2"/>
      <c r="F26" s="2"/>
      <c r="G26" s="2"/>
      <c r="H26" s="2"/>
      <c r="I26" s="2"/>
      <c r="J26" s="2"/>
      <c r="K26" s="2"/>
      <c r="L26" s="2"/>
      <c r="M26" s="2"/>
      <c r="N26" s="2"/>
      <c r="O26" s="2"/>
      <c r="P26" s="2"/>
      <c r="Q26" s="2"/>
      <c r="R26" s="2"/>
      <c r="S26" s="2"/>
      <c r="T26" s="2"/>
      <c r="U26" s="2"/>
      <c r="V26" s="2"/>
      <c r="W26" s="2"/>
      <c r="X26" s="2"/>
      <c r="Y26" s="2"/>
      <c r="Z26" s="2"/>
      <c r="AA26" s="2"/>
      <c r="AB26" s="2" t="s">
        <v>28</v>
      </c>
      <c r="AC26" s="2"/>
      <c r="AD26" s="2"/>
      <c r="AE26" s="2"/>
      <c r="AF26" s="2"/>
      <c r="AG26" s="2"/>
      <c r="AH26" s="2"/>
    </row>
    <row r="27" spans="1:34" ht="30" customHeight="1" x14ac:dyDescent="0.25">
      <c r="A27" s="1" t="s">
        <v>942</v>
      </c>
      <c r="B27" s="1" t="str">
        <f>_xlfn.TEXTJOIN(",  ",TRUE,Table24[[#This Row],[Column 1]:[Column 32]])</f>
        <v>English Only,  Spanish</v>
      </c>
      <c r="C27" s="2" t="s">
        <v>4</v>
      </c>
      <c r="D27" s="2"/>
      <c r="E27" s="2"/>
      <c r="F27" s="2"/>
      <c r="G27" s="2"/>
      <c r="H27" s="2"/>
      <c r="I27" s="2"/>
      <c r="J27" s="2"/>
      <c r="K27" s="2"/>
      <c r="L27" s="2"/>
      <c r="M27" s="2"/>
      <c r="N27" s="2"/>
      <c r="O27" s="2"/>
      <c r="P27" s="2"/>
      <c r="Q27" s="2"/>
      <c r="R27" s="2"/>
      <c r="S27" s="2"/>
      <c r="T27" s="2"/>
      <c r="U27" s="2"/>
      <c r="V27" s="2"/>
      <c r="W27" s="2"/>
      <c r="X27" s="2"/>
      <c r="Y27" s="2"/>
      <c r="Z27" s="2"/>
      <c r="AA27" s="2"/>
      <c r="AB27" s="2" t="s">
        <v>28</v>
      </c>
      <c r="AC27" s="2"/>
      <c r="AD27" s="2"/>
      <c r="AE27" s="2"/>
      <c r="AF27" s="2"/>
      <c r="AG27" s="2"/>
      <c r="AH27" s="2"/>
    </row>
    <row r="28" spans="1:34" ht="30" customHeight="1" x14ac:dyDescent="0.25">
      <c r="A28" s="1" t="s">
        <v>366</v>
      </c>
      <c r="B28" s="1" t="str">
        <f>_xlfn.TEXTJOIN(",  ",TRUE,Table24[[#This Row],[Column 1]:[Column 32]])</f>
        <v>English,  Spanish</v>
      </c>
      <c r="C28" s="2" t="s">
        <v>1297</v>
      </c>
      <c r="D28" s="2"/>
      <c r="E28" s="2"/>
      <c r="F28" s="2"/>
      <c r="G28" s="2"/>
      <c r="H28" s="2"/>
      <c r="I28" s="2"/>
      <c r="J28" s="2"/>
      <c r="K28" s="2"/>
      <c r="L28" s="2"/>
      <c r="M28" s="2"/>
      <c r="N28" s="2"/>
      <c r="O28" s="2"/>
      <c r="P28" s="2"/>
      <c r="Q28" s="2"/>
      <c r="R28" s="2"/>
      <c r="S28" s="2"/>
      <c r="T28" s="2"/>
      <c r="U28" s="2"/>
      <c r="V28" s="2"/>
      <c r="W28" s="2"/>
      <c r="X28" s="2"/>
      <c r="Y28" s="2"/>
      <c r="Z28" s="2"/>
      <c r="AA28" s="2"/>
      <c r="AB28" s="2" t="s">
        <v>28</v>
      </c>
      <c r="AC28" s="2"/>
      <c r="AD28" s="2"/>
      <c r="AE28" s="2"/>
      <c r="AF28" s="2"/>
      <c r="AG28" s="2"/>
      <c r="AH28" s="2"/>
    </row>
    <row r="29" spans="1:34" ht="30" customHeight="1" x14ac:dyDescent="0.25">
      <c r="A29" s="1" t="s">
        <v>553</v>
      </c>
      <c r="B29" s="1" t="str">
        <f>_xlfn.TEXTJOIN(",  ",TRUE,Table24[[#This Row],[Column 1]:[Column 32]])</f>
        <v>English Only</v>
      </c>
      <c r="C29" s="2" t="s">
        <v>4</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30" customHeight="1" x14ac:dyDescent="0.25">
      <c r="A30" s="1" t="s">
        <v>943</v>
      </c>
      <c r="B30" s="1" t="str">
        <f>_xlfn.TEXTJOIN(",  ",TRUE,Table24[[#This Row],[Column 1]:[Column 32]])</f>
        <v>English Only</v>
      </c>
      <c r="C30" s="2" t="s">
        <v>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30" customHeight="1" x14ac:dyDescent="0.25">
      <c r="A31" s="1" t="s">
        <v>1232</v>
      </c>
      <c r="B31" s="1" t="str">
        <f>_xlfn.TEXTJOIN(",  ",TRUE,Table24[[#This Row],[Column 1]:[Column 32]])</f>
        <v>English,  Spanish</v>
      </c>
      <c r="C31" s="2" t="s">
        <v>1297</v>
      </c>
      <c r="D31" s="2"/>
      <c r="E31" s="2"/>
      <c r="F31" s="2"/>
      <c r="G31" s="2"/>
      <c r="H31" s="2"/>
      <c r="I31" s="2"/>
      <c r="J31" s="2"/>
      <c r="K31" s="2"/>
      <c r="L31" s="2"/>
      <c r="M31" s="2"/>
      <c r="N31" s="2"/>
      <c r="O31" s="2"/>
      <c r="P31" s="2"/>
      <c r="Q31" s="2"/>
      <c r="R31" s="2"/>
      <c r="S31" s="2"/>
      <c r="T31" s="2"/>
      <c r="U31" s="2"/>
      <c r="V31" s="2"/>
      <c r="W31" s="2"/>
      <c r="X31" s="2"/>
      <c r="Y31" s="2"/>
      <c r="Z31" s="2"/>
      <c r="AA31" s="2"/>
      <c r="AB31" s="2" t="s">
        <v>28</v>
      </c>
      <c r="AC31" s="2"/>
      <c r="AD31" s="2"/>
      <c r="AE31" s="2"/>
      <c r="AF31" s="2"/>
      <c r="AG31" s="2"/>
      <c r="AH31" s="2"/>
    </row>
    <row r="32" spans="1:34" ht="30" customHeight="1" x14ac:dyDescent="0.25">
      <c r="A32" s="1" t="s">
        <v>928</v>
      </c>
      <c r="B32" s="1" t="str">
        <f>_xlfn.TEXTJOIN(",  ",TRUE,Table24[[#This Row],[Column 1]:[Column 32]])</f>
        <v>English,  Spanish</v>
      </c>
      <c r="C32" s="2" t="s">
        <v>1297</v>
      </c>
      <c r="D32" s="2"/>
      <c r="E32" s="2"/>
      <c r="F32" s="2"/>
      <c r="G32" s="2"/>
      <c r="H32" s="2"/>
      <c r="I32" s="2"/>
      <c r="J32" s="2"/>
      <c r="K32" s="2"/>
      <c r="L32" s="2"/>
      <c r="M32" s="2"/>
      <c r="N32" s="2"/>
      <c r="O32" s="2"/>
      <c r="P32" s="2"/>
      <c r="Q32" s="2"/>
      <c r="R32" s="2"/>
      <c r="S32" s="2"/>
      <c r="T32" s="2"/>
      <c r="U32" s="2"/>
      <c r="V32" s="2"/>
      <c r="W32" s="2"/>
      <c r="X32" s="2"/>
      <c r="Y32" s="2"/>
      <c r="Z32" s="2"/>
      <c r="AA32" s="2"/>
      <c r="AB32" s="2" t="s">
        <v>28</v>
      </c>
      <c r="AC32" s="2"/>
      <c r="AD32" s="2"/>
      <c r="AE32" s="2"/>
      <c r="AF32" s="2"/>
      <c r="AG32" s="2"/>
      <c r="AH32" s="2"/>
    </row>
    <row r="33" spans="1:34" ht="30" customHeight="1" x14ac:dyDescent="0.25">
      <c r="A33" s="1" t="s">
        <v>549</v>
      </c>
      <c r="B33" s="1" t="str">
        <f>_xlfn.TEXTJOIN(",  ",TRUE,Table24[[#This Row],[Column 1]:[Column 32]])</f>
        <v>English,  Spanish</v>
      </c>
      <c r="C33" s="2" t="s">
        <v>1297</v>
      </c>
      <c r="D33" s="2"/>
      <c r="E33" s="2"/>
      <c r="F33" s="2"/>
      <c r="G33" s="2"/>
      <c r="H33" s="2"/>
      <c r="I33" s="2"/>
      <c r="J33" s="2"/>
      <c r="K33" s="2"/>
      <c r="L33" s="2"/>
      <c r="M33" s="2"/>
      <c r="N33" s="2"/>
      <c r="O33" s="2"/>
      <c r="P33" s="2"/>
      <c r="Q33" s="2"/>
      <c r="R33" s="2"/>
      <c r="S33" s="2"/>
      <c r="T33" s="2"/>
      <c r="U33" s="2"/>
      <c r="V33" s="2"/>
      <c r="W33" s="2"/>
      <c r="X33" s="2"/>
      <c r="Y33" s="2"/>
      <c r="Z33" s="2"/>
      <c r="AA33" s="2"/>
      <c r="AB33" s="2" t="s">
        <v>28</v>
      </c>
      <c r="AC33" s="2"/>
      <c r="AD33" s="2"/>
      <c r="AE33" s="2"/>
      <c r="AF33" s="2"/>
      <c r="AG33" s="2"/>
      <c r="AH33" s="2"/>
    </row>
    <row r="34" spans="1:34" ht="30" customHeight="1" x14ac:dyDescent="0.25">
      <c r="A34" s="1" t="s">
        <v>202</v>
      </c>
      <c r="B34" s="1" t="str">
        <f>_xlfn.TEXTJOIN(",  ",TRUE,Table24[[#This Row],[Column 1]:[Column 32]])</f>
        <v>English,  French,  Spanish</v>
      </c>
      <c r="C34" s="2" t="s">
        <v>1297</v>
      </c>
      <c r="D34" s="2"/>
      <c r="E34" s="2"/>
      <c r="F34" s="2"/>
      <c r="G34" s="2"/>
      <c r="H34" s="2"/>
      <c r="I34" s="2"/>
      <c r="J34" s="2"/>
      <c r="K34" s="2"/>
      <c r="L34" s="2"/>
      <c r="M34" s="2"/>
      <c r="N34" s="2"/>
      <c r="O34" s="2" t="s">
        <v>16</v>
      </c>
      <c r="P34" s="2"/>
      <c r="Q34" s="2"/>
      <c r="R34" s="2"/>
      <c r="S34" s="2"/>
      <c r="T34" s="2"/>
      <c r="U34" s="2"/>
      <c r="V34" s="2"/>
      <c r="W34" s="2"/>
      <c r="X34" s="2"/>
      <c r="Y34" s="2"/>
      <c r="Z34" s="2"/>
      <c r="AA34" s="2"/>
      <c r="AB34" s="2" t="s">
        <v>28</v>
      </c>
      <c r="AC34" s="2"/>
      <c r="AD34" s="2"/>
      <c r="AE34" s="2"/>
      <c r="AF34" s="2"/>
      <c r="AG34" s="2"/>
      <c r="AH34" s="2"/>
    </row>
    <row r="35" spans="1:34" ht="30" customHeight="1" x14ac:dyDescent="0.25">
      <c r="A35" s="1" t="s">
        <v>851</v>
      </c>
      <c r="B35" s="1" t="str">
        <f>_xlfn.TEXTJOIN(",  ",TRUE,Table24[[#This Row],[Column 1]:[Column 32]])</f>
        <v>English,  French</v>
      </c>
      <c r="C35" s="2" t="s">
        <v>1297</v>
      </c>
      <c r="D35" s="2"/>
      <c r="E35" s="2"/>
      <c r="F35" s="2"/>
      <c r="G35" s="2"/>
      <c r="H35" s="2"/>
      <c r="I35" s="2"/>
      <c r="J35" s="2"/>
      <c r="K35" s="2"/>
      <c r="L35" s="2"/>
      <c r="M35" s="2"/>
      <c r="N35" s="2"/>
      <c r="O35" s="2" t="s">
        <v>16</v>
      </c>
      <c r="P35" s="2"/>
      <c r="Q35" s="2"/>
      <c r="R35" s="2"/>
      <c r="S35" s="2"/>
      <c r="T35" s="2"/>
      <c r="U35" s="2"/>
      <c r="V35" s="2"/>
      <c r="W35" s="2"/>
      <c r="X35" s="2"/>
      <c r="Y35" s="2"/>
      <c r="Z35" s="2"/>
      <c r="AA35" s="2"/>
      <c r="AB35" s="2"/>
      <c r="AC35" s="2"/>
      <c r="AD35" s="2"/>
      <c r="AE35" s="2"/>
      <c r="AF35" s="2"/>
      <c r="AG35" s="2"/>
      <c r="AH35" s="2"/>
    </row>
    <row r="36" spans="1:34" ht="30" customHeight="1" x14ac:dyDescent="0.25">
      <c r="A36" s="1" t="s">
        <v>882</v>
      </c>
      <c r="B36" s="1" t="str">
        <f>_xlfn.TEXTJOIN(",  ",TRUE,Table24[[#This Row],[Column 1]:[Column 32]])</f>
        <v>English Only</v>
      </c>
      <c r="C36" s="2" t="s">
        <v>4</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30" customHeight="1" x14ac:dyDescent="0.25">
      <c r="A37" s="1" t="s">
        <v>217</v>
      </c>
      <c r="B37" s="1" t="str">
        <f>_xlfn.TEXTJOIN(",  ",TRUE,Table24[[#This Row],[Column 1]:[Column 32]])</f>
        <v>English Only</v>
      </c>
      <c r="C37" s="2" t="s">
        <v>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30" customHeight="1" x14ac:dyDescent="0.25">
      <c r="A38" s="1" t="s">
        <v>463</v>
      </c>
      <c r="B38" s="1" t="str">
        <f>_xlfn.TEXTJOIN(",  ",TRUE,Table24[[#This Row],[Column 1]:[Column 32]])</f>
        <v>English Only</v>
      </c>
      <c r="C38" s="2" t="s">
        <v>4</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30" customHeight="1" x14ac:dyDescent="0.25">
      <c r="A39" s="1" t="s">
        <v>505</v>
      </c>
      <c r="B39" s="1" t="str">
        <f>_xlfn.TEXTJOIN(",  ",TRUE,Table24[[#This Row],[Column 1]:[Column 32]])</f>
        <v>English Only</v>
      </c>
      <c r="C39" s="2" t="s">
        <v>4</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30" customHeight="1" x14ac:dyDescent="0.25">
      <c r="A40" s="1" t="s">
        <v>497</v>
      </c>
      <c r="B40" s="1" t="str">
        <f>_xlfn.TEXTJOIN(",  ",TRUE,Table24[[#This Row],[Column 1]:[Column 32]])</f>
        <v>English,  Farsi,  Spanish,  Tagalog</v>
      </c>
      <c r="C40" s="2" t="s">
        <v>1297</v>
      </c>
      <c r="D40" s="2"/>
      <c r="E40" s="2"/>
      <c r="F40" s="2"/>
      <c r="G40" s="2"/>
      <c r="H40" s="2"/>
      <c r="I40" s="2"/>
      <c r="J40" s="2"/>
      <c r="K40" s="2"/>
      <c r="L40" s="2"/>
      <c r="M40" s="2"/>
      <c r="N40" s="2" t="s">
        <v>15</v>
      </c>
      <c r="O40" s="2"/>
      <c r="P40" s="2"/>
      <c r="Q40" s="2"/>
      <c r="R40" s="2"/>
      <c r="S40" s="2"/>
      <c r="T40" s="2"/>
      <c r="U40" s="2"/>
      <c r="V40" s="2"/>
      <c r="W40" s="2"/>
      <c r="X40" s="2"/>
      <c r="Y40" s="2"/>
      <c r="Z40" s="2"/>
      <c r="AA40" s="2"/>
      <c r="AB40" s="2" t="s">
        <v>28</v>
      </c>
      <c r="AC40" s="2"/>
      <c r="AD40" s="2" t="s">
        <v>30</v>
      </c>
      <c r="AE40" s="2"/>
      <c r="AF40" s="2"/>
      <c r="AG40" s="2"/>
      <c r="AH40" s="2"/>
    </row>
    <row r="41" spans="1:34" ht="30" customHeight="1" x14ac:dyDescent="0.25">
      <c r="A41" s="1" t="s">
        <v>1231</v>
      </c>
      <c r="B41" s="1" t="str">
        <f>_xlfn.TEXTJOIN(",  ",TRUE,Table24[[#This Row],[Column 1]:[Column 32]])</f>
        <v>English,  Russian,  Spanish,  Ukrainian</v>
      </c>
      <c r="C41" s="2" t="s">
        <v>1297</v>
      </c>
      <c r="D41" s="2"/>
      <c r="E41" s="2"/>
      <c r="F41" s="2"/>
      <c r="G41" s="2"/>
      <c r="H41" s="2"/>
      <c r="I41" s="2"/>
      <c r="J41" s="2"/>
      <c r="K41" s="2"/>
      <c r="L41" s="2"/>
      <c r="M41" s="2"/>
      <c r="N41" s="2"/>
      <c r="O41" s="2"/>
      <c r="P41" s="2"/>
      <c r="Q41" s="2"/>
      <c r="R41" s="2"/>
      <c r="S41" s="2"/>
      <c r="T41" s="2"/>
      <c r="U41" s="2"/>
      <c r="V41" s="2"/>
      <c r="W41" s="2"/>
      <c r="X41" s="2"/>
      <c r="Y41" s="2"/>
      <c r="Z41" s="2" t="s">
        <v>26</v>
      </c>
      <c r="AA41" s="2"/>
      <c r="AB41" s="2" t="s">
        <v>28</v>
      </c>
      <c r="AC41" s="2"/>
      <c r="AD41" s="2"/>
      <c r="AE41" s="2"/>
      <c r="AF41" s="2" t="s">
        <v>31</v>
      </c>
      <c r="AG41" s="2"/>
      <c r="AH41" s="2"/>
    </row>
    <row r="42" spans="1:34" ht="30" customHeight="1" x14ac:dyDescent="0.25">
      <c r="A42" s="1" t="s">
        <v>926</v>
      </c>
      <c r="B42" s="1" t="str">
        <f>_xlfn.TEXTJOIN(",  ",TRUE,Table24[[#This Row],[Column 1]:[Column 32]])</f>
        <v>English,  Spanish</v>
      </c>
      <c r="C42" s="2" t="s">
        <v>1297</v>
      </c>
      <c r="D42" s="2"/>
      <c r="E42" s="2"/>
      <c r="F42" s="2"/>
      <c r="G42" s="2"/>
      <c r="H42" s="2"/>
      <c r="I42" s="2"/>
      <c r="J42" s="2"/>
      <c r="K42" s="2"/>
      <c r="L42" s="2"/>
      <c r="M42" s="2"/>
      <c r="N42" s="2"/>
      <c r="O42" s="2"/>
      <c r="P42" s="2"/>
      <c r="Q42" s="2"/>
      <c r="R42" s="2"/>
      <c r="S42" s="2"/>
      <c r="T42" s="2"/>
      <c r="U42" s="2"/>
      <c r="V42" s="2"/>
      <c r="W42" s="2"/>
      <c r="X42" s="2"/>
      <c r="Y42" s="2"/>
      <c r="Z42" s="2"/>
      <c r="AA42" s="2"/>
      <c r="AB42" s="2" t="s">
        <v>28</v>
      </c>
      <c r="AC42" s="2"/>
      <c r="AD42" s="2"/>
      <c r="AE42" s="2"/>
      <c r="AF42" s="2"/>
      <c r="AG42" s="2"/>
      <c r="AH42" s="2"/>
    </row>
    <row r="43" spans="1:34" ht="30" customHeight="1" x14ac:dyDescent="0.25">
      <c r="A43" s="1" t="s">
        <v>923</v>
      </c>
      <c r="B43" s="1" t="str">
        <f>_xlfn.TEXTJOIN(",  ",TRUE,Table24[[#This Row],[Column 1]:[Column 32]])</f>
        <v>English Only</v>
      </c>
      <c r="C43" s="2" t="s">
        <v>4</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x14ac:dyDescent="0.25">
      <c r="A44" s="1" t="s">
        <v>60</v>
      </c>
      <c r="B44" s="1" t="str">
        <f>_xlfn.TEXTJOIN(",  ",TRUE,Table24[[#This Row],[Column 1]:[Column 32]])</f>
        <v>English,  Spanish</v>
      </c>
      <c r="C44" s="2" t="s">
        <v>1297</v>
      </c>
      <c r="D44" s="2"/>
      <c r="E44" s="2"/>
      <c r="F44" s="2"/>
      <c r="G44" s="2"/>
      <c r="H44" s="2"/>
      <c r="I44" s="2"/>
      <c r="J44" s="2"/>
      <c r="K44" s="2"/>
      <c r="L44" s="2"/>
      <c r="M44" s="2"/>
      <c r="N44" s="2"/>
      <c r="O44" s="2"/>
      <c r="P44" s="2"/>
      <c r="Q44" s="2"/>
      <c r="R44" s="2"/>
      <c r="S44" s="2"/>
      <c r="T44" s="2"/>
      <c r="U44" s="2"/>
      <c r="V44" s="2"/>
      <c r="W44" s="2"/>
      <c r="X44" s="2"/>
      <c r="Y44" s="2"/>
      <c r="Z44" s="2"/>
      <c r="AA44" s="2"/>
      <c r="AB44" s="2" t="s">
        <v>28</v>
      </c>
      <c r="AC44" s="2"/>
      <c r="AD44" s="2"/>
      <c r="AE44" s="2"/>
      <c r="AF44" s="2"/>
      <c r="AG44" s="2"/>
      <c r="AH44" s="2"/>
    </row>
    <row r="45" spans="1:34" ht="30" customHeight="1" x14ac:dyDescent="0.25">
      <c r="A45" s="1" t="s">
        <v>205</v>
      </c>
      <c r="B45" s="1" t="str">
        <f>_xlfn.TEXTJOIN(",  ",TRUE,Table24[[#This Row],[Column 1]:[Column 32]])</f>
        <v>English Only</v>
      </c>
      <c r="C45" s="2" t="s">
        <v>4</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30" customHeight="1" x14ac:dyDescent="0.25">
      <c r="A46" s="1" t="s">
        <v>1230</v>
      </c>
      <c r="B46" s="1" t="str">
        <f>_xlfn.TEXTJOIN(",  ",TRUE,Table24[[#This Row],[Column 1]:[Column 32]])</f>
        <v>English,  French,  Spanish,  Vietnamese</v>
      </c>
      <c r="C46" s="2" t="s">
        <v>1297</v>
      </c>
      <c r="D46" s="2"/>
      <c r="E46" s="2"/>
      <c r="F46" s="2"/>
      <c r="G46" s="2"/>
      <c r="H46" s="2"/>
      <c r="I46" s="2"/>
      <c r="J46" s="2"/>
      <c r="K46" s="2"/>
      <c r="L46" s="2"/>
      <c r="M46" s="2"/>
      <c r="N46" s="2"/>
      <c r="O46" s="2" t="s">
        <v>16</v>
      </c>
      <c r="P46" s="2"/>
      <c r="Q46" s="2"/>
      <c r="R46" s="2"/>
      <c r="S46" s="2"/>
      <c r="T46" s="2"/>
      <c r="U46" s="2"/>
      <c r="V46" s="2"/>
      <c r="W46" s="2"/>
      <c r="X46" s="2"/>
      <c r="Y46" s="2"/>
      <c r="Z46" s="2"/>
      <c r="AA46" s="2"/>
      <c r="AB46" s="2" t="s">
        <v>28</v>
      </c>
      <c r="AC46" s="2"/>
      <c r="AD46" s="2"/>
      <c r="AE46" s="2"/>
      <c r="AF46" s="2"/>
      <c r="AG46" s="2"/>
      <c r="AH46" s="2" t="s">
        <v>33</v>
      </c>
    </row>
    <row r="47" spans="1:34" ht="30" customHeight="1" x14ac:dyDescent="0.25">
      <c r="A47" s="1" t="s">
        <v>199</v>
      </c>
      <c r="B47" s="1" t="str">
        <f>_xlfn.TEXTJOIN(",  ",TRUE,Table24[[#This Row],[Column 1]:[Column 32]])</f>
        <v>English,  Japanese,  Spanish</v>
      </c>
      <c r="C47" s="2" t="s">
        <v>1297</v>
      </c>
      <c r="D47" s="2"/>
      <c r="E47" s="2"/>
      <c r="F47" s="2"/>
      <c r="G47" s="2"/>
      <c r="H47" s="2"/>
      <c r="I47" s="2"/>
      <c r="J47" s="2"/>
      <c r="K47" s="2"/>
      <c r="L47" s="2"/>
      <c r="M47" s="2"/>
      <c r="N47" s="2"/>
      <c r="O47" s="2"/>
      <c r="P47" s="2"/>
      <c r="Q47" s="2"/>
      <c r="R47" s="2"/>
      <c r="S47" s="2" t="s">
        <v>20</v>
      </c>
      <c r="T47" s="2"/>
      <c r="U47" s="2"/>
      <c r="V47" s="2"/>
      <c r="W47" s="2"/>
      <c r="X47" s="2"/>
      <c r="Y47" s="2"/>
      <c r="Z47" s="2"/>
      <c r="AA47" s="2"/>
      <c r="AB47" s="2" t="s">
        <v>28</v>
      </c>
      <c r="AC47" s="2"/>
      <c r="AD47" s="2"/>
      <c r="AE47" s="2"/>
      <c r="AF47" s="2"/>
      <c r="AG47" s="2"/>
      <c r="AH47" s="2"/>
    </row>
    <row r="48" spans="1:34" ht="30" customHeight="1" x14ac:dyDescent="0.25">
      <c r="A48" s="1" t="s">
        <v>865</v>
      </c>
      <c r="B48" s="1" t="str">
        <f>_xlfn.TEXTJOIN(",  ",TRUE,Table24[[#This Row],[Column 1]:[Column 32]])</f>
        <v>English,  Spanish</v>
      </c>
      <c r="C48" s="2" t="s">
        <v>1297</v>
      </c>
      <c r="D48" s="2"/>
      <c r="E48" s="2"/>
      <c r="F48" s="2"/>
      <c r="G48" s="2"/>
      <c r="H48" s="2"/>
      <c r="I48" s="2"/>
      <c r="J48" s="2"/>
      <c r="K48" s="2"/>
      <c r="L48" s="2"/>
      <c r="M48" s="2"/>
      <c r="N48" s="2"/>
      <c r="O48" s="2"/>
      <c r="P48" s="2"/>
      <c r="Q48" s="2"/>
      <c r="R48" s="2"/>
      <c r="S48" s="2"/>
      <c r="T48" s="2"/>
      <c r="U48" s="2"/>
      <c r="V48" s="2"/>
      <c r="W48" s="2"/>
      <c r="X48" s="2"/>
      <c r="Y48" s="2"/>
      <c r="Z48" s="2"/>
      <c r="AA48" s="2"/>
      <c r="AB48" s="2" t="s">
        <v>28</v>
      </c>
      <c r="AC48" s="2"/>
      <c r="AD48" s="2"/>
      <c r="AE48" s="2"/>
      <c r="AF48" s="2"/>
      <c r="AG48" s="2"/>
      <c r="AH48" s="2"/>
    </row>
    <row r="49" spans="1:34" ht="30" customHeight="1" x14ac:dyDescent="0.25">
      <c r="A49" s="1" t="s">
        <v>451</v>
      </c>
      <c r="B49" s="1" t="str">
        <f>_xlfn.TEXTJOIN(",  ",TRUE,Table24[[#This Row],[Column 1]:[Column 32]])</f>
        <v>English Only</v>
      </c>
      <c r="C49" s="2" t="s">
        <v>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30" customHeight="1" x14ac:dyDescent="0.25">
      <c r="A50" s="1" t="s">
        <v>374</v>
      </c>
      <c r="B50" s="1" t="str">
        <f>_xlfn.TEXTJOIN(",  ",TRUE,Table24[[#This Row],[Column 1]:[Column 32]])</f>
        <v>English Only</v>
      </c>
      <c r="C50" s="2" t="s">
        <v>4</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30" customHeight="1" x14ac:dyDescent="0.25">
      <c r="A51" s="1" t="s">
        <v>397</v>
      </c>
      <c r="B51" s="1" t="str">
        <f>_xlfn.TEXTJOIN(",  ",TRUE,Table24[[#This Row],[Column 1]:[Column 32]])</f>
        <v>English Only</v>
      </c>
      <c r="C51" s="2" t="s">
        <v>4</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30" customHeight="1" x14ac:dyDescent="0.25">
      <c r="A52" s="1" t="s">
        <v>351</v>
      </c>
      <c r="B52" s="1" t="str">
        <f>_xlfn.TEXTJOIN(",  ",TRUE,Table24[[#This Row],[Column 1]:[Column 32]])</f>
        <v>English Only</v>
      </c>
      <c r="C52" s="2" t="s">
        <v>4</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30" customHeight="1" x14ac:dyDescent="0.25">
      <c r="A53" s="1" t="s">
        <v>388</v>
      </c>
      <c r="B53" s="1" t="str">
        <f>_xlfn.TEXTJOIN(",  ",TRUE,Table24[[#This Row],[Column 1]:[Column 32]])</f>
        <v>English,  Spanish</v>
      </c>
      <c r="C53" s="2" t="s">
        <v>1297</v>
      </c>
      <c r="D53" s="2"/>
      <c r="E53" s="2"/>
      <c r="F53" s="2"/>
      <c r="G53" s="2"/>
      <c r="H53" s="2"/>
      <c r="I53" s="2"/>
      <c r="J53" s="2"/>
      <c r="K53" s="2"/>
      <c r="L53" s="2"/>
      <c r="M53" s="2"/>
      <c r="N53" s="2"/>
      <c r="O53" s="2"/>
      <c r="P53" s="2"/>
      <c r="Q53" s="2"/>
      <c r="R53" s="2"/>
      <c r="S53" s="2"/>
      <c r="T53" s="2"/>
      <c r="U53" s="2"/>
      <c r="V53" s="2"/>
      <c r="W53" s="2"/>
      <c r="X53" s="2"/>
      <c r="Y53" s="2"/>
      <c r="Z53" s="2"/>
      <c r="AA53" s="2"/>
      <c r="AB53" s="2" t="s">
        <v>28</v>
      </c>
      <c r="AC53" s="2"/>
      <c r="AD53" s="2"/>
      <c r="AE53" s="2"/>
      <c r="AF53" s="2"/>
      <c r="AG53" s="2"/>
      <c r="AH53" s="2"/>
    </row>
    <row r="54" spans="1:34" ht="30" customHeight="1" x14ac:dyDescent="0.25">
      <c r="A54" s="1" t="s">
        <v>142</v>
      </c>
      <c r="B54" s="1" t="str">
        <f>_xlfn.TEXTJOIN(",  ",TRUE,Table24[[#This Row],[Column 1]:[Column 32]])</f>
        <v>English Only</v>
      </c>
      <c r="C54" s="2" t="s">
        <v>4</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30" customHeight="1" x14ac:dyDescent="0.25">
      <c r="A55" s="1" t="s">
        <v>304</v>
      </c>
      <c r="B55" s="1" t="str">
        <f>_xlfn.TEXTJOIN(",  ",TRUE,Table24[[#This Row],[Column 1]:[Column 32]])</f>
        <v>English Only</v>
      </c>
      <c r="C55" s="2" t="s">
        <v>4</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30" customHeight="1" x14ac:dyDescent="0.25">
      <c r="A56" s="1" t="s">
        <v>1215</v>
      </c>
      <c r="B56" s="1" t="str">
        <f>_xlfn.TEXTJOIN(",  ",TRUE,Table24[[#This Row],[Column 1]:[Column 32]])</f>
        <v>English,  Spanish</v>
      </c>
      <c r="C56" s="2" t="s">
        <v>1297</v>
      </c>
      <c r="D56" s="2"/>
      <c r="E56" s="2"/>
      <c r="F56" s="2"/>
      <c r="G56" s="2"/>
      <c r="H56" s="2"/>
      <c r="I56" s="2"/>
      <c r="J56" s="2"/>
      <c r="K56" s="2"/>
      <c r="L56" s="2"/>
      <c r="M56" s="2"/>
      <c r="N56" s="2"/>
      <c r="O56" s="2"/>
      <c r="P56" s="2"/>
      <c r="Q56" s="2"/>
      <c r="R56" s="2"/>
      <c r="S56" s="2"/>
      <c r="T56" s="2"/>
      <c r="U56" s="2"/>
      <c r="V56" s="2"/>
      <c r="W56" s="2"/>
      <c r="X56" s="2"/>
      <c r="Y56" s="2"/>
      <c r="Z56" s="2"/>
      <c r="AA56" s="2"/>
      <c r="AB56" s="2" t="s">
        <v>28</v>
      </c>
      <c r="AC56" s="2"/>
      <c r="AD56" s="2"/>
      <c r="AE56" s="2"/>
      <c r="AF56" s="2"/>
      <c r="AG56" s="2"/>
      <c r="AH56" s="2"/>
    </row>
    <row r="57" spans="1:34" ht="30" customHeight="1" x14ac:dyDescent="0.25">
      <c r="A57" s="1" t="s">
        <v>529</v>
      </c>
      <c r="B57" s="1" t="str">
        <f>_xlfn.TEXTJOIN(",  ",TRUE,Table24[[#This Row],[Column 1]:[Column 32]])</f>
        <v>English Only</v>
      </c>
      <c r="C57" s="2" t="s">
        <v>4</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30" customHeight="1" x14ac:dyDescent="0.25">
      <c r="A58" s="1" t="s">
        <v>911</v>
      </c>
      <c r="B58" s="1" t="str">
        <f>_xlfn.TEXTJOIN(",  ",TRUE,Table24[[#This Row],[Column 1]:[Column 32]])</f>
        <v>English Only</v>
      </c>
      <c r="C58" s="2" t="s">
        <v>4</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30" customHeight="1" x14ac:dyDescent="0.25">
      <c r="A59" s="1" t="s">
        <v>850</v>
      </c>
      <c r="B59" s="1" t="str">
        <f>_xlfn.TEXTJOIN(",  ",TRUE,Table24[[#This Row],[Column 1]:[Column 32]])</f>
        <v>English,  Farsi,  Spanish</v>
      </c>
      <c r="C59" s="2" t="s">
        <v>1297</v>
      </c>
      <c r="D59" s="2"/>
      <c r="E59" s="2"/>
      <c r="F59" s="2"/>
      <c r="G59" s="2"/>
      <c r="H59" s="2"/>
      <c r="I59" s="2"/>
      <c r="J59" s="2"/>
      <c r="K59" s="2"/>
      <c r="L59" s="2"/>
      <c r="M59" s="2"/>
      <c r="N59" s="2" t="s">
        <v>15</v>
      </c>
      <c r="O59" s="2"/>
      <c r="P59" s="2"/>
      <c r="Q59" s="2"/>
      <c r="R59" s="2"/>
      <c r="S59" s="2"/>
      <c r="T59" s="2"/>
      <c r="U59" s="2"/>
      <c r="V59" s="2"/>
      <c r="W59" s="2"/>
      <c r="X59" s="2"/>
      <c r="Y59" s="2"/>
      <c r="Z59" s="2"/>
      <c r="AA59" s="2"/>
      <c r="AB59" s="2" t="s">
        <v>28</v>
      </c>
      <c r="AC59" s="2"/>
      <c r="AD59" s="2"/>
      <c r="AE59" s="2"/>
      <c r="AF59" s="2"/>
      <c r="AG59" s="2"/>
      <c r="AH59" s="2"/>
    </row>
    <row r="60" spans="1:34" ht="30" customHeight="1" x14ac:dyDescent="0.25">
      <c r="A60" s="1" t="s">
        <v>938</v>
      </c>
      <c r="B60" s="1" t="str">
        <f>_xlfn.TEXTJOIN(",  ",TRUE,Table24[[#This Row],[Column 1]:[Column 32]])</f>
        <v>English Only</v>
      </c>
      <c r="C60" s="2" t="s">
        <v>4</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30" customHeight="1" x14ac:dyDescent="0.25">
      <c r="A61" s="1" t="s">
        <v>321</v>
      </c>
      <c r="B61" s="1" t="str">
        <f>_xlfn.TEXTJOIN(",  ",TRUE,Table24[[#This Row],[Column 1]:[Column 32]])</f>
        <v>English Only</v>
      </c>
      <c r="C61" s="2" t="s">
        <v>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 customHeight="1" x14ac:dyDescent="0.25">
      <c r="A62" s="1" t="s">
        <v>148</v>
      </c>
      <c r="B62" s="1" t="str">
        <f>_xlfn.TEXTJOIN(",  ",TRUE,Table24[[#This Row],[Column 1]:[Column 32]])</f>
        <v>English Only</v>
      </c>
      <c r="C62" s="2" t="s">
        <v>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30" customHeight="1" x14ac:dyDescent="0.25">
      <c r="A63" s="1" t="s">
        <v>888</v>
      </c>
      <c r="B63" s="1" t="str">
        <f>_xlfn.TEXTJOIN(",  ",TRUE,Table24[[#This Row],[Column 1]:[Column 32]])</f>
        <v>English,  Spanish</v>
      </c>
      <c r="C63" s="2" t="s">
        <v>1297</v>
      </c>
      <c r="D63" s="2"/>
      <c r="E63" s="2"/>
      <c r="F63" s="2"/>
      <c r="G63" s="2"/>
      <c r="H63" s="2"/>
      <c r="I63" s="2"/>
      <c r="J63" s="2"/>
      <c r="K63" s="2"/>
      <c r="L63" s="2"/>
      <c r="M63" s="2"/>
      <c r="N63" s="2"/>
      <c r="O63" s="2"/>
      <c r="P63" s="2"/>
      <c r="Q63" s="2"/>
      <c r="R63" s="2"/>
      <c r="S63" s="2"/>
      <c r="T63" s="2"/>
      <c r="U63" s="2"/>
      <c r="V63" s="2"/>
      <c r="W63" s="2"/>
      <c r="X63" s="2"/>
      <c r="Y63" s="2"/>
      <c r="Z63" s="2"/>
      <c r="AA63" s="2"/>
      <c r="AB63" s="2" t="s">
        <v>28</v>
      </c>
      <c r="AC63" s="2"/>
      <c r="AD63" s="2"/>
      <c r="AE63" s="2"/>
      <c r="AF63" s="2"/>
      <c r="AG63" s="2"/>
      <c r="AH63" s="2"/>
    </row>
    <row r="64" spans="1:34" ht="30" customHeight="1" x14ac:dyDescent="0.25">
      <c r="A64" s="1" t="s">
        <v>67</v>
      </c>
      <c r="B64" s="1" t="str">
        <f>_xlfn.TEXTJOIN(",  ",TRUE,Table24[[#This Row],[Column 1]:[Column 32]])</f>
        <v>English Only</v>
      </c>
      <c r="C64" s="2" t="s">
        <v>4</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30" customHeight="1" x14ac:dyDescent="0.25">
      <c r="A65" s="1" t="s">
        <v>258</v>
      </c>
      <c r="B65" s="1" t="str">
        <f>_xlfn.TEXTJOIN(",  ",TRUE,Table24[[#This Row],[Column 1]:[Column 32]])</f>
        <v>English,  Spanish</v>
      </c>
      <c r="C65" s="2" t="s">
        <v>1297</v>
      </c>
      <c r="D65" s="2"/>
      <c r="E65" s="2"/>
      <c r="F65" s="2"/>
      <c r="G65" s="2"/>
      <c r="H65" s="2"/>
      <c r="I65" s="2"/>
      <c r="J65" s="2"/>
      <c r="K65" s="2"/>
      <c r="L65" s="2"/>
      <c r="M65" s="2"/>
      <c r="N65" s="2"/>
      <c r="O65" s="2"/>
      <c r="P65" s="2"/>
      <c r="Q65" s="2"/>
      <c r="R65" s="2"/>
      <c r="S65" s="2"/>
      <c r="T65" s="2"/>
      <c r="U65" s="2"/>
      <c r="V65" s="2"/>
      <c r="W65" s="2"/>
      <c r="X65" s="2"/>
      <c r="Y65" s="2"/>
      <c r="Z65" s="2"/>
      <c r="AA65" s="2"/>
      <c r="AB65" s="2" t="s">
        <v>28</v>
      </c>
      <c r="AC65" s="2"/>
      <c r="AD65" s="2"/>
      <c r="AE65" s="2"/>
      <c r="AF65" s="2"/>
      <c r="AG65" s="2"/>
      <c r="AH65" s="2"/>
    </row>
    <row r="66" spans="1:34" ht="30" customHeight="1" x14ac:dyDescent="0.25">
      <c r="A66" s="1" t="s">
        <v>914</v>
      </c>
      <c r="B66" s="1" t="str">
        <f>_xlfn.TEXTJOIN(",  ",TRUE,Table24[[#This Row],[Column 1]:[Column 32]])</f>
        <v>English Only</v>
      </c>
      <c r="C66" s="2" t="s">
        <v>4</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30" customHeight="1" x14ac:dyDescent="0.25">
      <c r="A67" s="1" t="s">
        <v>917</v>
      </c>
      <c r="B67" s="1" t="str">
        <f>_xlfn.TEXTJOIN(",  ",TRUE,Table24[[#This Row],[Column 1]:[Column 32]])</f>
        <v>English,  Armenian,  Korean,  Spanish,  Vietnamese</v>
      </c>
      <c r="C67" s="2" t="s">
        <v>1297</v>
      </c>
      <c r="D67" s="2"/>
      <c r="E67" s="2"/>
      <c r="F67" s="2"/>
      <c r="G67" s="2"/>
      <c r="H67" s="2" t="s">
        <v>9</v>
      </c>
      <c r="I67" s="2"/>
      <c r="J67" s="2"/>
      <c r="K67" s="2"/>
      <c r="L67" s="2"/>
      <c r="M67" s="2"/>
      <c r="N67" s="2"/>
      <c r="O67" s="2"/>
      <c r="P67" s="2"/>
      <c r="Q67" s="2"/>
      <c r="R67" s="2"/>
      <c r="S67" s="2"/>
      <c r="T67" s="2" t="s">
        <v>21</v>
      </c>
      <c r="U67" s="2"/>
      <c r="V67" s="2"/>
      <c r="W67" s="2"/>
      <c r="X67" s="2"/>
      <c r="Y67" s="2"/>
      <c r="Z67" s="2"/>
      <c r="AA67" s="2"/>
      <c r="AB67" s="2" t="s">
        <v>28</v>
      </c>
      <c r="AC67" s="2"/>
      <c r="AD67" s="2"/>
      <c r="AE67" s="2"/>
      <c r="AF67" s="2"/>
      <c r="AG67" s="2"/>
      <c r="AH67" s="2" t="s">
        <v>33</v>
      </c>
    </row>
    <row r="68" spans="1:34" ht="30" customHeight="1" x14ac:dyDescent="0.25">
      <c r="A68" s="1" t="s">
        <v>391</v>
      </c>
      <c r="B68" s="1" t="str">
        <f>_xlfn.TEXTJOIN(",  ",TRUE,Table24[[#This Row],[Column 1]:[Column 32]])</f>
        <v>English,  French,  Spanish</v>
      </c>
      <c r="C68" s="2" t="s">
        <v>1297</v>
      </c>
      <c r="D68" s="2"/>
      <c r="E68" s="2"/>
      <c r="F68" s="2"/>
      <c r="G68" s="2"/>
      <c r="H68" s="2"/>
      <c r="I68" s="2"/>
      <c r="J68" s="2"/>
      <c r="K68" s="2"/>
      <c r="L68" s="2"/>
      <c r="M68" s="2"/>
      <c r="N68" s="2"/>
      <c r="O68" s="2" t="s">
        <v>16</v>
      </c>
      <c r="P68" s="2"/>
      <c r="Q68" s="2"/>
      <c r="R68" s="2"/>
      <c r="S68" s="2"/>
      <c r="T68" s="2"/>
      <c r="U68" s="2"/>
      <c r="V68" s="2"/>
      <c r="W68" s="2"/>
      <c r="X68" s="2"/>
      <c r="Y68" s="2"/>
      <c r="Z68" s="2"/>
      <c r="AA68" s="2"/>
      <c r="AB68" s="2" t="s">
        <v>28</v>
      </c>
      <c r="AC68" s="2"/>
      <c r="AD68" s="2"/>
      <c r="AE68" s="2"/>
      <c r="AF68" s="2"/>
      <c r="AG68" s="2"/>
      <c r="AH68" s="2"/>
    </row>
    <row r="69" spans="1:34" ht="30" customHeight="1" x14ac:dyDescent="0.25">
      <c r="A69" s="1" t="s">
        <v>190</v>
      </c>
      <c r="B69" s="1" t="str">
        <f>_xlfn.TEXTJOIN(",  ",TRUE,Table24[[#This Row],[Column 1]:[Column 32]])</f>
        <v>English Only</v>
      </c>
      <c r="C69" s="2" t="s">
        <v>4</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30" customHeight="1" x14ac:dyDescent="0.25">
      <c r="A70" s="1" t="s">
        <v>872</v>
      </c>
      <c r="B70" s="1" t="str">
        <f>_xlfn.TEXTJOIN(",  ",TRUE,Table24[[#This Row],[Column 1]:[Column 32]])</f>
        <v>English Only</v>
      </c>
      <c r="C70" s="2" t="s">
        <v>4</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30" customHeight="1" x14ac:dyDescent="0.25">
      <c r="A71" s="1" t="s">
        <v>878</v>
      </c>
      <c r="B71" s="1" t="str">
        <f>_xlfn.TEXTJOIN(",  ",TRUE,Table24[[#This Row],[Column 1]:[Column 32]])</f>
        <v>English Only</v>
      </c>
      <c r="C71" s="2" t="s">
        <v>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30" customHeight="1" x14ac:dyDescent="0.25">
      <c r="A72" s="1" t="s">
        <v>153</v>
      </c>
      <c r="B72" s="1" t="str">
        <f>_xlfn.TEXTJOIN(",  ",TRUE,Table24[[#This Row],[Column 1]:[Column 32]])</f>
        <v>English,  Spanish</v>
      </c>
      <c r="C72" s="2" t="s">
        <v>1297</v>
      </c>
      <c r="D72" s="2"/>
      <c r="E72" s="2"/>
      <c r="F72" s="2"/>
      <c r="G72" s="2"/>
      <c r="H72" s="2"/>
      <c r="I72" s="2"/>
      <c r="J72" s="2"/>
      <c r="K72" s="2"/>
      <c r="L72" s="2"/>
      <c r="M72" s="2"/>
      <c r="N72" s="2"/>
      <c r="O72" s="2"/>
      <c r="P72" s="2"/>
      <c r="Q72" s="2"/>
      <c r="R72" s="2"/>
      <c r="S72" s="2"/>
      <c r="T72" s="2"/>
      <c r="U72" s="2"/>
      <c r="V72" s="2"/>
      <c r="W72" s="2"/>
      <c r="X72" s="2"/>
      <c r="Y72" s="2"/>
      <c r="Z72" s="2"/>
      <c r="AA72" s="2"/>
      <c r="AB72" s="2" t="s">
        <v>28</v>
      </c>
      <c r="AC72" s="2"/>
      <c r="AD72" s="2"/>
      <c r="AE72" s="2"/>
      <c r="AF72" s="2"/>
      <c r="AG72" s="2"/>
      <c r="AH72" s="2"/>
    </row>
    <row r="73" spans="1:34" ht="30" customHeight="1" x14ac:dyDescent="0.25">
      <c r="A73" s="1" t="s">
        <v>330</v>
      </c>
      <c r="B73" s="1" t="str">
        <f>_xlfn.TEXTJOIN(",  ",TRUE,Table24[[#This Row],[Column 1]:[Column 32]])</f>
        <v>English Only</v>
      </c>
      <c r="C73" s="2" t="s">
        <v>4</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30" customHeight="1" x14ac:dyDescent="0.25">
      <c r="A74" s="1" t="s">
        <v>532</v>
      </c>
      <c r="B74" s="1" t="str">
        <f>_xlfn.TEXTJOIN(",  ",TRUE,Table24[[#This Row],[Column 1]:[Column 32]])</f>
        <v>English,  Spanish</v>
      </c>
      <c r="C74" s="2" t="s">
        <v>1297</v>
      </c>
      <c r="D74" s="2"/>
      <c r="E74" s="2"/>
      <c r="F74" s="2"/>
      <c r="G74" s="2"/>
      <c r="H74" s="2"/>
      <c r="I74" s="2"/>
      <c r="J74" s="2"/>
      <c r="K74" s="2"/>
      <c r="L74" s="2"/>
      <c r="M74" s="2"/>
      <c r="N74" s="2"/>
      <c r="O74" s="2"/>
      <c r="P74" s="2"/>
      <c r="Q74" s="2"/>
      <c r="R74" s="2"/>
      <c r="S74" s="2"/>
      <c r="T74" s="2"/>
      <c r="U74" s="2"/>
      <c r="V74" s="2"/>
      <c r="W74" s="2"/>
      <c r="X74" s="2"/>
      <c r="Y74" s="2"/>
      <c r="Z74" s="2"/>
      <c r="AA74" s="2"/>
      <c r="AB74" s="2" t="s">
        <v>28</v>
      </c>
      <c r="AC74" s="2"/>
      <c r="AD74" s="2"/>
      <c r="AE74" s="2"/>
      <c r="AF74" s="2"/>
      <c r="AG74" s="2"/>
      <c r="AH74" s="2"/>
    </row>
    <row r="75" spans="1:34" ht="30" customHeight="1" x14ac:dyDescent="0.25">
      <c r="A75" s="1" t="s">
        <v>280</v>
      </c>
      <c r="B75" s="1" t="str">
        <f>_xlfn.TEXTJOIN(",  ",TRUE,Table24[[#This Row],[Column 1]:[Column 32]])</f>
        <v>English,  Arabic,  Hindi,  Spanish</v>
      </c>
      <c r="C75" s="2" t="s">
        <v>1297</v>
      </c>
      <c r="D75" s="2"/>
      <c r="E75" s="2"/>
      <c r="F75" s="2"/>
      <c r="G75" s="2" t="s">
        <v>8</v>
      </c>
      <c r="H75" s="2"/>
      <c r="I75" s="2"/>
      <c r="J75" s="2"/>
      <c r="K75" s="2"/>
      <c r="L75" s="2"/>
      <c r="M75" s="2"/>
      <c r="N75" s="2"/>
      <c r="O75" s="2"/>
      <c r="P75" s="2"/>
      <c r="Q75" s="2" t="s">
        <v>18</v>
      </c>
      <c r="R75" s="2"/>
      <c r="S75" s="2"/>
      <c r="T75" s="2"/>
      <c r="U75" s="2"/>
      <c r="V75" s="2"/>
      <c r="W75" s="2"/>
      <c r="X75" s="2"/>
      <c r="Y75" s="2"/>
      <c r="Z75" s="2"/>
      <c r="AA75" s="2"/>
      <c r="AB75" s="2" t="s">
        <v>28</v>
      </c>
      <c r="AC75" s="2"/>
      <c r="AD75" s="2"/>
      <c r="AE75" s="2"/>
      <c r="AF75" s="2"/>
      <c r="AG75" s="2"/>
      <c r="AH75" s="2"/>
    </row>
    <row r="76" spans="1:34" ht="30" customHeight="1" x14ac:dyDescent="0.25">
      <c r="A76" s="1" t="s">
        <v>211</v>
      </c>
      <c r="B76" s="1" t="str">
        <f>_xlfn.TEXTJOIN(",  ",TRUE,Table24[[#This Row],[Column 1]:[Column 32]])</f>
        <v>English,  French,  Spanish</v>
      </c>
      <c r="C76" s="2" t="s">
        <v>1297</v>
      </c>
      <c r="D76" s="2"/>
      <c r="E76" s="2"/>
      <c r="F76" s="2"/>
      <c r="G76" s="2"/>
      <c r="H76" s="2"/>
      <c r="I76" s="2"/>
      <c r="J76" s="2"/>
      <c r="K76" s="2"/>
      <c r="L76" s="2"/>
      <c r="M76" s="2"/>
      <c r="N76" s="2"/>
      <c r="O76" s="2" t="s">
        <v>16</v>
      </c>
      <c r="P76" s="2"/>
      <c r="Q76" s="2"/>
      <c r="R76" s="2"/>
      <c r="S76" s="2"/>
      <c r="T76" s="2"/>
      <c r="U76" s="2"/>
      <c r="V76" s="2"/>
      <c r="W76" s="2"/>
      <c r="X76" s="2"/>
      <c r="Y76" s="2"/>
      <c r="Z76" s="2"/>
      <c r="AA76" s="2"/>
      <c r="AB76" s="2" t="s">
        <v>28</v>
      </c>
      <c r="AC76" s="2"/>
      <c r="AD76" s="2"/>
      <c r="AE76" s="2"/>
      <c r="AF76" s="2"/>
      <c r="AG76" s="2"/>
      <c r="AH76" s="2"/>
    </row>
    <row r="77" spans="1:34" ht="30" customHeight="1" x14ac:dyDescent="0.25">
      <c r="A77" s="1" t="s">
        <v>896</v>
      </c>
      <c r="B77" s="1" t="str">
        <f>_xlfn.TEXTJOIN(",  ",TRUE,Table24[[#This Row],[Column 1]:[Column 32]])</f>
        <v>English Only</v>
      </c>
      <c r="C77" s="2" t="s">
        <v>4</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30" customHeight="1" x14ac:dyDescent="0.25">
      <c r="A78" s="1" t="s">
        <v>853</v>
      </c>
      <c r="B78" s="1" t="str">
        <f>_xlfn.TEXTJOIN(",  ",TRUE,Table24[[#This Row],[Column 1]:[Column 32]])</f>
        <v>English Only</v>
      </c>
      <c r="C78" s="2" t="s">
        <v>4</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30" customHeight="1" x14ac:dyDescent="0.25">
      <c r="A79" s="1" t="s">
        <v>1216</v>
      </c>
      <c r="B79" s="1" t="str">
        <f>_xlfn.TEXTJOIN(",  ",TRUE,Table24[[#This Row],[Column 1]:[Column 32]])</f>
        <v>English Only</v>
      </c>
      <c r="C79" s="2" t="s">
        <v>4</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30" customHeight="1" x14ac:dyDescent="0.25">
      <c r="A80" s="1" t="s">
        <v>537</v>
      </c>
      <c r="B80" s="1" t="str">
        <f>_xlfn.TEXTJOIN(",  ",TRUE,Table24[[#This Row],[Column 1]:[Column 32]])</f>
        <v>English,  Armenian</v>
      </c>
      <c r="C80" s="2" t="s">
        <v>1297</v>
      </c>
      <c r="D80" s="2"/>
      <c r="E80" s="2"/>
      <c r="F80" s="2"/>
      <c r="G80" s="2"/>
      <c r="H80" s="2" t="s">
        <v>9</v>
      </c>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30" customHeight="1" x14ac:dyDescent="0.25">
      <c r="A81" s="1" t="s">
        <v>526</v>
      </c>
      <c r="B81" s="1" t="str">
        <f>_xlfn.TEXTJOIN(",  ",TRUE,Table24[[#This Row],[Column 1]:[Column 32]])</f>
        <v>English Only</v>
      </c>
      <c r="C81" s="2" t="s">
        <v>4</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30" customHeight="1" x14ac:dyDescent="0.25">
      <c r="A82" s="1" t="s">
        <v>275</v>
      </c>
      <c r="B82" s="1" t="str">
        <f>_xlfn.TEXTJOIN(",  ",TRUE,Table24[[#This Row],[Column 1]:[Column 32]])</f>
        <v>English Only</v>
      </c>
      <c r="C82" s="2" t="s">
        <v>4</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30" customHeight="1" x14ac:dyDescent="0.25">
      <c r="A83" s="9" t="s">
        <v>253</v>
      </c>
      <c r="B83" s="9" t="str">
        <f>_xlfn.TEXTJOIN(",  ",TRUE,Table24[[#This Row],[Column 1]:[Column 32]])</f>
        <v>English,  Spanish</v>
      </c>
      <c r="C83" s="10" t="s">
        <v>1297</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t="s">
        <v>28</v>
      </c>
      <c r="AC83" s="10"/>
      <c r="AD83" s="10"/>
      <c r="AE83" s="10"/>
      <c r="AF83" s="10"/>
      <c r="AG83" s="10"/>
      <c r="AH83" s="10"/>
    </row>
    <row r="84" spans="1:34" ht="30" customHeight="1" x14ac:dyDescent="0.25">
      <c r="A84" s="1" t="s">
        <v>327</v>
      </c>
      <c r="B84" s="1" t="str">
        <f>_xlfn.TEXTJOIN(",  ",TRUE,Table24[[#This Row],[Column 1]:[Column 32]])</f>
        <v>English,  Cantonese,  Mandarin,  Spanish</v>
      </c>
      <c r="C84" s="2" t="s">
        <v>1297</v>
      </c>
      <c r="D84" s="2"/>
      <c r="E84" s="2"/>
      <c r="F84" s="2"/>
      <c r="G84" s="2"/>
      <c r="H84" s="2"/>
      <c r="I84" s="2"/>
      <c r="J84" s="2"/>
      <c r="K84" s="2" t="s">
        <v>12</v>
      </c>
      <c r="L84" s="2"/>
      <c r="M84" s="2"/>
      <c r="N84" s="2"/>
      <c r="O84" s="2"/>
      <c r="P84" s="2"/>
      <c r="Q84" s="2"/>
      <c r="R84" s="2"/>
      <c r="S84" s="2"/>
      <c r="T84" s="2"/>
      <c r="U84" s="2"/>
      <c r="V84" s="2" t="s">
        <v>23</v>
      </c>
      <c r="W84" s="2"/>
      <c r="X84" s="2"/>
      <c r="Y84" s="2"/>
      <c r="Z84" s="2"/>
      <c r="AA84" s="2"/>
      <c r="AB84" s="2" t="s">
        <v>28</v>
      </c>
      <c r="AC84" s="2"/>
      <c r="AD84" s="2"/>
      <c r="AE84" s="2"/>
      <c r="AF84" s="2"/>
      <c r="AG84" s="2"/>
      <c r="AH84" s="2"/>
    </row>
    <row r="85" spans="1:34" ht="30" customHeight="1" x14ac:dyDescent="0.25">
      <c r="A85" s="1" t="s">
        <v>929</v>
      </c>
      <c r="B85" s="1" t="str">
        <f>_xlfn.TEXTJOIN(",  ",TRUE,Table24[[#This Row],[Column 1]:[Column 32]])</f>
        <v>English</v>
      </c>
      <c r="C85" s="2" t="s">
        <v>1297</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30" customHeight="1" x14ac:dyDescent="0.25">
      <c r="A86" s="1" t="s">
        <v>876</v>
      </c>
      <c r="B86" s="1" t="str">
        <f>_xlfn.TEXTJOIN(",  ",TRUE,Table24[[#This Row],[Column 1]:[Column 32]])</f>
        <v>English Only</v>
      </c>
      <c r="C86" s="2" t="s">
        <v>4</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30" customHeight="1" x14ac:dyDescent="0.25">
      <c r="A87" s="1" t="s">
        <v>323</v>
      </c>
      <c r="B87" s="1" t="str">
        <f>_xlfn.TEXTJOIN(",  ",TRUE,Table24[[#This Row],[Column 1]:[Column 32]])</f>
        <v>English Only</v>
      </c>
      <c r="C87" s="2" t="s">
        <v>4</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30" customHeight="1" x14ac:dyDescent="0.25">
      <c r="A88" s="1" t="s">
        <v>930</v>
      </c>
      <c r="B88" s="1" t="str">
        <f>_xlfn.TEXTJOIN(",  ",TRUE,Table24[[#This Row],[Column 1]:[Column 32]])</f>
        <v>English,  Farsi</v>
      </c>
      <c r="C88" s="2" t="s">
        <v>1297</v>
      </c>
      <c r="D88" s="2"/>
      <c r="E88" s="2"/>
      <c r="F88" s="2"/>
      <c r="G88" s="2"/>
      <c r="H88" s="2"/>
      <c r="I88" s="2"/>
      <c r="J88" s="2"/>
      <c r="K88" s="2"/>
      <c r="L88" s="2"/>
      <c r="M88" s="2"/>
      <c r="N88" s="2" t="s">
        <v>15</v>
      </c>
      <c r="O88" s="2"/>
      <c r="P88" s="2"/>
      <c r="Q88" s="2"/>
      <c r="R88" s="2"/>
      <c r="S88" s="2"/>
      <c r="T88" s="2"/>
      <c r="U88" s="2"/>
      <c r="V88" s="2"/>
      <c r="W88" s="2"/>
      <c r="X88" s="2"/>
      <c r="Y88" s="2"/>
      <c r="Z88" s="2"/>
      <c r="AA88" s="2"/>
      <c r="AB88" s="2"/>
      <c r="AC88" s="2"/>
      <c r="AD88" s="2"/>
      <c r="AE88" s="2"/>
      <c r="AF88" s="2"/>
      <c r="AG88" s="2"/>
      <c r="AH88" s="2"/>
    </row>
    <row r="89" spans="1:34" ht="30" customHeight="1" x14ac:dyDescent="0.25">
      <c r="A89" s="1" t="s">
        <v>417</v>
      </c>
      <c r="B89" s="1" t="str">
        <f>_xlfn.TEXTJOIN(",  ",TRUE,Table24[[#This Row],[Column 1]:[Column 32]])</f>
        <v>English Only</v>
      </c>
      <c r="C89" s="2" t="s">
        <v>4</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30" customHeight="1" x14ac:dyDescent="0.25">
      <c r="A90" s="1" t="s">
        <v>519</v>
      </c>
      <c r="B90" s="1" t="str">
        <f>_xlfn.TEXTJOIN(",  ",TRUE,Table24[[#This Row],[Column 1]:[Column 32]])</f>
        <v>English Only</v>
      </c>
      <c r="C90" s="2" t="s">
        <v>4</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30" customHeight="1" x14ac:dyDescent="0.25">
      <c r="A91" s="1" t="s">
        <v>487</v>
      </c>
      <c r="B91" s="1" t="str">
        <f>_xlfn.TEXTJOIN(",  ",TRUE,Table24[[#This Row],[Column 1]:[Column 32]])</f>
        <v>English,  Spanish</v>
      </c>
      <c r="C91" s="2" t="s">
        <v>1297</v>
      </c>
      <c r="D91" s="2"/>
      <c r="E91" s="2"/>
      <c r="F91" s="2"/>
      <c r="G91" s="2"/>
      <c r="H91" s="2"/>
      <c r="I91" s="2"/>
      <c r="J91" s="2"/>
      <c r="K91" s="2"/>
      <c r="L91" s="2"/>
      <c r="M91" s="2"/>
      <c r="N91" s="2"/>
      <c r="O91" s="2"/>
      <c r="P91" s="2"/>
      <c r="Q91" s="2"/>
      <c r="R91" s="2"/>
      <c r="S91" s="2"/>
      <c r="T91" s="2"/>
      <c r="U91" s="2"/>
      <c r="V91" s="2"/>
      <c r="W91" s="2"/>
      <c r="X91" s="2"/>
      <c r="Y91" s="2"/>
      <c r="Z91" s="2"/>
      <c r="AA91" s="2"/>
      <c r="AB91" s="2" t="s">
        <v>28</v>
      </c>
      <c r="AC91" s="2"/>
      <c r="AD91" s="2"/>
      <c r="AE91" s="2"/>
      <c r="AF91" s="2"/>
      <c r="AG91" s="2"/>
      <c r="AH91" s="2"/>
    </row>
    <row r="92" spans="1:34" ht="30" customHeight="1" x14ac:dyDescent="0.25">
      <c r="A92" s="1" t="s">
        <v>307</v>
      </c>
      <c r="B92" s="1" t="str">
        <f>_xlfn.TEXTJOIN(",  ",TRUE,Table24[[#This Row],[Column 1]:[Column 32]])</f>
        <v>English Only</v>
      </c>
      <c r="C92" s="2" t="s">
        <v>4</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30" customHeight="1" x14ac:dyDescent="0.25">
      <c r="A93" s="1" t="s">
        <v>296</v>
      </c>
      <c r="B93" s="1" t="str">
        <f>_xlfn.TEXTJOIN(",  ",TRUE,Table24[[#This Row],[Column 1]:[Column 32]])</f>
        <v>English,  French,  Portuguese,  Spanish</v>
      </c>
      <c r="C93" s="2" t="s">
        <v>1297</v>
      </c>
      <c r="D93" s="2"/>
      <c r="E93" s="2"/>
      <c r="F93" s="2"/>
      <c r="G93" s="2"/>
      <c r="H93" s="2"/>
      <c r="I93" s="2"/>
      <c r="J93" s="2"/>
      <c r="K93" s="2"/>
      <c r="L93" s="2"/>
      <c r="M93" s="2"/>
      <c r="N93" s="2"/>
      <c r="O93" s="2" t="s">
        <v>16</v>
      </c>
      <c r="P93" s="2"/>
      <c r="Q93" s="2"/>
      <c r="R93" s="2"/>
      <c r="S93" s="2"/>
      <c r="T93" s="2"/>
      <c r="U93" s="2"/>
      <c r="V93" s="2"/>
      <c r="W93" s="2"/>
      <c r="X93" s="2"/>
      <c r="Y93" s="2" t="s">
        <v>25</v>
      </c>
      <c r="Z93" s="2"/>
      <c r="AA93" s="2"/>
      <c r="AB93" s="2" t="s">
        <v>28</v>
      </c>
      <c r="AC93" s="2"/>
      <c r="AD93" s="2"/>
      <c r="AE93" s="2"/>
      <c r="AF93" s="2"/>
      <c r="AG93" s="2"/>
      <c r="AH93" s="2"/>
    </row>
    <row r="94" spans="1:34" ht="30" customHeight="1" x14ac:dyDescent="0.25">
      <c r="A94" s="1" t="s">
        <v>945</v>
      </c>
      <c r="B94" s="1" t="str">
        <f>_xlfn.TEXTJOIN(",  ",TRUE,Table24[[#This Row],[Column 1]:[Column 32]])</f>
        <v>English,  Spanish</v>
      </c>
      <c r="C94" s="2" t="s">
        <v>1297</v>
      </c>
      <c r="D94" s="2"/>
      <c r="E94" s="2"/>
      <c r="F94" s="2"/>
      <c r="G94" s="2"/>
      <c r="H94" s="2"/>
      <c r="I94" s="2"/>
      <c r="J94" s="2"/>
      <c r="K94" s="2"/>
      <c r="L94" s="2"/>
      <c r="M94" s="2"/>
      <c r="N94" s="2"/>
      <c r="O94" s="2"/>
      <c r="P94" s="2"/>
      <c r="Q94" s="2"/>
      <c r="R94" s="2"/>
      <c r="S94" s="2"/>
      <c r="T94" s="2"/>
      <c r="U94" s="2"/>
      <c r="V94" s="2"/>
      <c r="W94" s="2"/>
      <c r="X94" s="2"/>
      <c r="Y94" s="2"/>
      <c r="Z94" s="2"/>
      <c r="AA94" s="2"/>
      <c r="AB94" s="2" t="s">
        <v>28</v>
      </c>
      <c r="AC94" s="2"/>
      <c r="AD94" s="2"/>
      <c r="AE94" s="2"/>
      <c r="AF94" s="2"/>
      <c r="AG94" s="2"/>
      <c r="AH94" s="2"/>
    </row>
    <row r="95" spans="1:34" ht="30" customHeight="1" x14ac:dyDescent="0.25">
      <c r="A95" s="1" t="s">
        <v>261</v>
      </c>
      <c r="B95" s="1" t="str">
        <f>_xlfn.TEXTJOIN(",  ",TRUE,Table24[[#This Row],[Column 1]:[Column 32]])</f>
        <v>English,  Hmong,  Spanish</v>
      </c>
      <c r="C95" s="2" t="s">
        <v>1297</v>
      </c>
      <c r="D95" s="2"/>
      <c r="E95" s="2"/>
      <c r="F95" s="2"/>
      <c r="G95" s="2"/>
      <c r="H95" s="2"/>
      <c r="I95" s="2"/>
      <c r="J95" s="2"/>
      <c r="K95" s="2"/>
      <c r="L95" s="2"/>
      <c r="M95" s="2"/>
      <c r="N95" s="2"/>
      <c r="O95" s="2"/>
      <c r="P95" s="2"/>
      <c r="Q95" s="2"/>
      <c r="R95" s="2" t="s">
        <v>19</v>
      </c>
      <c r="S95" s="2"/>
      <c r="T95" s="2"/>
      <c r="U95" s="2"/>
      <c r="V95" s="2"/>
      <c r="W95" s="2"/>
      <c r="X95" s="2"/>
      <c r="Y95" s="2"/>
      <c r="Z95" s="2"/>
      <c r="AA95" s="2"/>
      <c r="AB95" s="2" t="s">
        <v>28</v>
      </c>
      <c r="AC95" s="2"/>
      <c r="AD95" s="2"/>
      <c r="AE95" s="2"/>
      <c r="AF95" s="2"/>
      <c r="AG95" s="2"/>
      <c r="AH95" s="2"/>
    </row>
    <row r="96" spans="1:34" ht="30" customHeight="1" x14ac:dyDescent="0.25">
      <c r="A96" s="1" t="s">
        <v>892</v>
      </c>
      <c r="B96" s="1" t="str">
        <f>_xlfn.TEXTJOIN(",  ",TRUE,Table24[[#This Row],[Column 1]:[Column 32]])</f>
        <v>English,  Spanish</v>
      </c>
      <c r="C96" s="2" t="s">
        <v>1297</v>
      </c>
      <c r="D96" s="2"/>
      <c r="E96" s="2"/>
      <c r="F96" s="2"/>
      <c r="G96" s="2"/>
      <c r="H96" s="2"/>
      <c r="I96" s="2"/>
      <c r="J96" s="2"/>
      <c r="K96" s="2"/>
      <c r="L96" s="2"/>
      <c r="M96" s="2"/>
      <c r="N96" s="2"/>
      <c r="O96" s="2"/>
      <c r="P96" s="2"/>
      <c r="Q96" s="2"/>
      <c r="R96" s="2"/>
      <c r="S96" s="2"/>
      <c r="T96" s="2"/>
      <c r="U96" s="2"/>
      <c r="V96" s="2"/>
      <c r="W96" s="2"/>
      <c r="X96" s="2"/>
      <c r="Y96" s="2"/>
      <c r="Z96" s="2"/>
      <c r="AA96" s="2"/>
      <c r="AB96" s="2" t="s">
        <v>28</v>
      </c>
      <c r="AC96" s="2"/>
      <c r="AD96" s="2"/>
      <c r="AE96" s="2"/>
      <c r="AF96" s="2"/>
      <c r="AG96" s="2"/>
      <c r="AH96" s="2"/>
    </row>
    <row r="97" spans="1:34" ht="30" customHeight="1" x14ac:dyDescent="0.25">
      <c r="A97" s="1" t="s">
        <v>494</v>
      </c>
      <c r="B97" s="1" t="str">
        <f>_xlfn.TEXTJOIN(",  ",TRUE,Table24[[#This Row],[Column 1]:[Column 32]])</f>
        <v>English,  Spanish</v>
      </c>
      <c r="C97" s="2" t="s">
        <v>1297</v>
      </c>
      <c r="D97" s="2"/>
      <c r="E97" s="2"/>
      <c r="F97" s="2"/>
      <c r="G97" s="2"/>
      <c r="H97" s="2"/>
      <c r="I97" s="2"/>
      <c r="J97" s="2"/>
      <c r="K97" s="2"/>
      <c r="L97" s="2"/>
      <c r="M97" s="2"/>
      <c r="N97" s="2"/>
      <c r="O97" s="2"/>
      <c r="P97" s="2"/>
      <c r="Q97" s="2"/>
      <c r="R97" s="2"/>
      <c r="S97" s="2"/>
      <c r="T97" s="2"/>
      <c r="U97" s="2"/>
      <c r="V97" s="2"/>
      <c r="W97" s="2"/>
      <c r="X97" s="2"/>
      <c r="Y97" s="2"/>
      <c r="Z97" s="2"/>
      <c r="AA97" s="2"/>
      <c r="AB97" s="2" t="s">
        <v>28</v>
      </c>
      <c r="AC97" s="2"/>
      <c r="AD97" s="2"/>
      <c r="AE97" s="2"/>
      <c r="AF97" s="2"/>
      <c r="AG97" s="2"/>
      <c r="AH97" s="2"/>
    </row>
    <row r="98" spans="1:34" ht="30" customHeight="1" x14ac:dyDescent="0.25">
      <c r="A98" s="1" t="s">
        <v>99</v>
      </c>
      <c r="B98" s="1" t="str">
        <f>_xlfn.TEXTJOIN(",  ",TRUE,Table24[[#This Row],[Column 1]:[Column 32]])</f>
        <v>English,  Albanian,  American Sign Language,  Amharic,  Arabic,  Armenian,  Burmese,  Cambodian,  Cantonese,  Chaldean,  Dari,  Farsi,  French,  Greek,  Hindi,  Hmong,  Japanese,  Korean,  Lao,  Mandarin,  Mixtec,  Pashto,  Portuguese,  Russian,  Somali,  Spanish,  Swahili,  Tagalog,  Tigri,  Ukrainian,  Urdu,  Vietnamese</v>
      </c>
      <c r="C98" s="2" t="s">
        <v>1297</v>
      </c>
      <c r="D98" s="2" t="s">
        <v>5</v>
      </c>
      <c r="E98" s="2" t="s">
        <v>6</v>
      </c>
      <c r="F98" s="2" t="s">
        <v>7</v>
      </c>
      <c r="G98" s="2" t="s">
        <v>8</v>
      </c>
      <c r="H98" s="2" t="s">
        <v>9</v>
      </c>
      <c r="I98" s="2" t="s">
        <v>10</v>
      </c>
      <c r="J98" s="2" t="s">
        <v>11</v>
      </c>
      <c r="K98" s="2" t="s">
        <v>12</v>
      </c>
      <c r="L98" s="2" t="s">
        <v>13</v>
      </c>
      <c r="M98" s="2" t="s">
        <v>14</v>
      </c>
      <c r="N98" s="2" t="s">
        <v>15</v>
      </c>
      <c r="O98" s="2" t="s">
        <v>16</v>
      </c>
      <c r="P98" s="2" t="s">
        <v>17</v>
      </c>
      <c r="Q98" s="2" t="s">
        <v>18</v>
      </c>
      <c r="R98" s="2" t="s">
        <v>19</v>
      </c>
      <c r="S98" s="2" t="s">
        <v>20</v>
      </c>
      <c r="T98" s="2" t="s">
        <v>21</v>
      </c>
      <c r="U98" s="2" t="s">
        <v>22</v>
      </c>
      <c r="V98" s="2" t="s">
        <v>23</v>
      </c>
      <c r="W98" s="2" t="s">
        <v>1294</v>
      </c>
      <c r="X98" s="2" t="s">
        <v>24</v>
      </c>
      <c r="Y98" s="2" t="s">
        <v>25</v>
      </c>
      <c r="Z98" s="2" t="s">
        <v>26</v>
      </c>
      <c r="AA98" s="2" t="s">
        <v>27</v>
      </c>
      <c r="AB98" s="2" t="s">
        <v>28</v>
      </c>
      <c r="AC98" s="2" t="s">
        <v>29</v>
      </c>
      <c r="AD98" s="2" t="s">
        <v>30</v>
      </c>
      <c r="AE98" s="2" t="s">
        <v>1021</v>
      </c>
      <c r="AF98" s="2" t="s">
        <v>31</v>
      </c>
      <c r="AG98" s="2" t="s">
        <v>32</v>
      </c>
      <c r="AH98" s="2" t="s">
        <v>33</v>
      </c>
    </row>
    <row r="99" spans="1:34" ht="30" customHeight="1" x14ac:dyDescent="0.25">
      <c r="A99" s="1" t="s">
        <v>852</v>
      </c>
      <c r="B99" s="1" t="str">
        <f>_xlfn.TEXTJOIN(",  ",TRUE,Table24[[#This Row],[Column 1]:[Column 32]])</f>
        <v>English,  Spanish</v>
      </c>
      <c r="C99" s="2" t="s">
        <v>1297</v>
      </c>
      <c r="D99" s="2"/>
      <c r="E99" s="2"/>
      <c r="F99" s="2"/>
      <c r="G99" s="2"/>
      <c r="H99" s="2"/>
      <c r="I99" s="2"/>
      <c r="J99" s="2"/>
      <c r="K99" s="2"/>
      <c r="L99" s="2"/>
      <c r="M99" s="2"/>
      <c r="N99" s="2"/>
      <c r="O99" s="2"/>
      <c r="P99" s="2"/>
      <c r="Q99" s="2"/>
      <c r="R99" s="2"/>
      <c r="S99" s="2"/>
      <c r="T99" s="2"/>
      <c r="U99" s="2"/>
      <c r="V99" s="2"/>
      <c r="W99" s="2"/>
      <c r="X99" s="2"/>
      <c r="Y99" s="2"/>
      <c r="Z99" s="2"/>
      <c r="AA99" s="2"/>
      <c r="AB99" s="2" t="s">
        <v>28</v>
      </c>
      <c r="AC99" s="2"/>
      <c r="AD99" s="2"/>
      <c r="AE99" s="2"/>
      <c r="AF99" s="2"/>
      <c r="AG99" s="2"/>
      <c r="AH99" s="2"/>
    </row>
    <row r="100" spans="1:34" ht="30" customHeight="1" x14ac:dyDescent="0.25">
      <c r="A100" s="1" t="s">
        <v>167</v>
      </c>
      <c r="B100" s="1" t="str">
        <f>_xlfn.TEXTJOIN(",  ",TRUE,Table24[[#This Row],[Column 1]:[Column 32]])</f>
        <v>English Only</v>
      </c>
      <c r="C100" s="2" t="s">
        <v>4</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30" customHeight="1" x14ac:dyDescent="0.25">
      <c r="A101" s="1" t="s">
        <v>859</v>
      </c>
      <c r="B101" s="1" t="str">
        <f>_xlfn.TEXTJOIN(",  ",TRUE,Table24[[#This Row],[Column 1]:[Column 32]])</f>
        <v>English Only</v>
      </c>
      <c r="C101" s="2" t="s">
        <v>4</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30" customHeight="1" x14ac:dyDescent="0.25">
      <c r="A102" s="1" t="s">
        <v>873</v>
      </c>
      <c r="B102" s="1" t="str">
        <f>_xlfn.TEXTJOIN(",  ",TRUE,Table24[[#This Row],[Column 1]:[Column 32]])</f>
        <v>English,  Spanish</v>
      </c>
      <c r="C102" s="2" t="s">
        <v>1297</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t="s">
        <v>28</v>
      </c>
      <c r="AC102" s="2"/>
      <c r="AD102" s="2"/>
      <c r="AE102" s="2"/>
      <c r="AF102" s="2"/>
      <c r="AG102" s="2"/>
      <c r="AH102" s="2"/>
    </row>
    <row r="103" spans="1:34" ht="30" customHeight="1" x14ac:dyDescent="0.25">
      <c r="A103" s="1" t="s">
        <v>946</v>
      </c>
      <c r="B103" s="1" t="str">
        <f>_xlfn.TEXTJOIN(",  ",TRUE,Table24[[#This Row],[Column 1]:[Column 32]])</f>
        <v>English Only</v>
      </c>
      <c r="C103" s="2" t="s">
        <v>4</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30" customHeight="1" x14ac:dyDescent="0.25">
      <c r="A104" s="1" t="s">
        <v>485</v>
      </c>
      <c r="B104" s="1" t="str">
        <f>_xlfn.TEXTJOIN(",  ",TRUE,Table24[[#This Row],[Column 1]:[Column 32]])</f>
        <v>English,  Spanish</v>
      </c>
      <c r="C104" s="2" t="s">
        <v>1297</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t="s">
        <v>28</v>
      </c>
      <c r="AC104" s="2"/>
      <c r="AD104" s="2"/>
      <c r="AE104" s="2"/>
      <c r="AF104" s="2"/>
      <c r="AG104" s="2"/>
      <c r="AH104" s="2"/>
    </row>
    <row r="105" spans="1:34" ht="30" customHeight="1" x14ac:dyDescent="0.25">
      <c r="A105" s="1" t="s">
        <v>115</v>
      </c>
      <c r="B105" s="1" t="str">
        <f>_xlfn.TEXTJOIN(",  ",TRUE,Table24[[#This Row],[Column 1]:[Column 32]])</f>
        <v>English,  Arabic</v>
      </c>
      <c r="C105" s="2" t="s">
        <v>1297</v>
      </c>
      <c r="D105" s="2"/>
      <c r="E105" s="2"/>
      <c r="F105" s="2"/>
      <c r="G105" s="2" t="s">
        <v>8</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30" customHeight="1" x14ac:dyDescent="0.25">
      <c r="A106" s="1" t="s">
        <v>920</v>
      </c>
      <c r="B106" s="1" t="str">
        <f>_xlfn.TEXTJOIN(",  ",TRUE,Table24[[#This Row],[Column 1]:[Column 32]])</f>
        <v>English Only</v>
      </c>
      <c r="C106" s="2" t="s">
        <v>4</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30" customHeight="1" x14ac:dyDescent="0.25">
      <c r="A107" s="1" t="s">
        <v>916</v>
      </c>
      <c r="B107" s="1" t="str">
        <f>_xlfn.TEXTJOIN(",  ",TRUE,Table24[[#This Row],[Column 1]:[Column 32]])</f>
        <v>English,  Spanish,  Tagalog,  Vietnamese</v>
      </c>
      <c r="C107" s="2" t="s">
        <v>1297</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t="s">
        <v>28</v>
      </c>
      <c r="AC107" s="2"/>
      <c r="AD107" s="2" t="s">
        <v>30</v>
      </c>
      <c r="AE107" s="2"/>
      <c r="AF107" s="2"/>
      <c r="AG107" s="2"/>
      <c r="AH107" s="2" t="s">
        <v>33</v>
      </c>
    </row>
    <row r="108" spans="1:34" ht="30" customHeight="1" x14ac:dyDescent="0.25">
      <c r="A108" s="1" t="s">
        <v>134</v>
      </c>
      <c r="B108" s="1" t="str">
        <f>_xlfn.TEXTJOIN(",  ",TRUE,Table24[[#This Row],[Column 1]:[Column 32]])</f>
        <v>English,  Spanish</v>
      </c>
      <c r="C108" s="2" t="s">
        <v>1297</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t="s">
        <v>28</v>
      </c>
      <c r="AC108" s="2"/>
      <c r="AD108" s="2"/>
      <c r="AE108" s="2"/>
      <c r="AF108" s="2"/>
      <c r="AG108" s="2"/>
      <c r="AH108" s="2"/>
    </row>
    <row r="109" spans="1:34" ht="30" customHeight="1" x14ac:dyDescent="0.25">
      <c r="A109" s="1" t="s">
        <v>875</v>
      </c>
      <c r="B109" s="1" t="str">
        <f>_xlfn.TEXTJOIN(",  ",TRUE,Table24[[#This Row],[Column 1]:[Column 32]])</f>
        <v>English,  Spanish</v>
      </c>
      <c r="C109" s="2" t="s">
        <v>1297</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t="s">
        <v>28</v>
      </c>
      <c r="AC109" s="2"/>
      <c r="AD109" s="2"/>
      <c r="AE109" s="2"/>
      <c r="AF109" s="2"/>
      <c r="AG109" s="2"/>
      <c r="AH109" s="2"/>
    </row>
    <row r="110" spans="1:34" ht="30" customHeight="1" x14ac:dyDescent="0.25">
      <c r="A110" s="1" t="s">
        <v>37</v>
      </c>
      <c r="B110" s="1" t="str">
        <f>_xlfn.TEXTJOIN(",  ",TRUE,Table24[[#This Row],[Column 1]:[Column 32]])</f>
        <v>English,  Spanish</v>
      </c>
      <c r="C110" s="2" t="s">
        <v>1297</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t="s">
        <v>28</v>
      </c>
      <c r="AC110" s="2"/>
      <c r="AD110" s="2"/>
      <c r="AE110" s="2"/>
      <c r="AF110" s="2"/>
      <c r="AG110" s="2"/>
      <c r="AH110" s="2"/>
    </row>
    <row r="111" spans="1:34" ht="30" customHeight="1" x14ac:dyDescent="0.25">
      <c r="A111" s="1" t="s">
        <v>220</v>
      </c>
      <c r="B111" s="1" t="str">
        <f>_xlfn.TEXTJOIN(",  ",TRUE,Table24[[#This Row],[Column 1]:[Column 32]])</f>
        <v>English,  Spanish</v>
      </c>
      <c r="C111" s="2" t="s">
        <v>1297</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t="s">
        <v>28</v>
      </c>
      <c r="AC111" s="2"/>
      <c r="AD111" s="2"/>
      <c r="AE111" s="2"/>
      <c r="AF111" s="2"/>
      <c r="AG111" s="2"/>
      <c r="AH111" s="2"/>
    </row>
    <row r="112" spans="1:34" ht="30" customHeight="1" x14ac:dyDescent="0.25">
      <c r="A112" s="1" t="s">
        <v>858</v>
      </c>
      <c r="B112" s="1" t="str">
        <f>_xlfn.TEXTJOIN(",  ",TRUE,Table24[[#This Row],[Column 1]:[Column 32]])</f>
        <v>English,  Spanish</v>
      </c>
      <c r="C112" s="2" t="s">
        <v>1297</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t="s">
        <v>28</v>
      </c>
      <c r="AC112" s="2"/>
      <c r="AD112" s="2"/>
      <c r="AE112" s="2"/>
      <c r="AF112" s="2"/>
      <c r="AG112" s="2"/>
      <c r="AH112" s="2"/>
    </row>
    <row r="113" spans="1:34" ht="30" customHeight="1" x14ac:dyDescent="0.25">
      <c r="A113" s="1" t="s">
        <v>272</v>
      </c>
      <c r="B113" s="1" t="str">
        <f>_xlfn.TEXTJOIN(",  ",TRUE,Table24[[#This Row],[Column 1]:[Column 32]])</f>
        <v>English Only</v>
      </c>
      <c r="C113" s="2" t="s">
        <v>4</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30" customHeight="1" x14ac:dyDescent="0.25">
      <c r="A114" s="1" t="s">
        <v>52</v>
      </c>
      <c r="B114" s="1" t="str">
        <f>_xlfn.TEXTJOIN(",  ",TRUE,Table24[[#This Row],[Column 1]:[Column 32]])</f>
        <v>English Only</v>
      </c>
      <c r="C114" s="2" t="s">
        <v>4</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30" customHeight="1" x14ac:dyDescent="0.25">
      <c r="A115" s="1" t="s">
        <v>428</v>
      </c>
      <c r="B115" s="1" t="str">
        <f>_xlfn.TEXTJOIN(",  ",TRUE,Table24[[#This Row],[Column 1]:[Column 32]])</f>
        <v>English,  Hmong,  Spanish,  Tagalog</v>
      </c>
      <c r="C115" s="2" t="s">
        <v>1297</v>
      </c>
      <c r="D115" s="2"/>
      <c r="E115" s="2"/>
      <c r="F115" s="2"/>
      <c r="G115" s="2"/>
      <c r="H115" s="2"/>
      <c r="I115" s="2"/>
      <c r="J115" s="2"/>
      <c r="K115" s="2"/>
      <c r="L115" s="2"/>
      <c r="M115" s="2"/>
      <c r="N115" s="2"/>
      <c r="O115" s="2"/>
      <c r="P115" s="2"/>
      <c r="Q115" s="2"/>
      <c r="R115" s="2" t="s">
        <v>19</v>
      </c>
      <c r="S115" s="2"/>
      <c r="T115" s="2"/>
      <c r="U115" s="2"/>
      <c r="V115" s="2"/>
      <c r="W115" s="2"/>
      <c r="X115" s="2"/>
      <c r="Y115" s="2"/>
      <c r="Z115" s="2"/>
      <c r="AA115" s="2"/>
      <c r="AB115" s="2" t="s">
        <v>28</v>
      </c>
      <c r="AC115" s="2"/>
      <c r="AD115" s="2" t="s">
        <v>30</v>
      </c>
      <c r="AE115" s="2"/>
      <c r="AF115" s="2"/>
      <c r="AG115" s="2"/>
      <c r="AH115" s="2"/>
    </row>
    <row r="116" spans="1:34" ht="30" customHeight="1" x14ac:dyDescent="0.25">
      <c r="A116" s="1" t="s">
        <v>179</v>
      </c>
      <c r="B116" s="1" t="str">
        <f>_xlfn.TEXTJOIN(",  ",TRUE,Table24[[#This Row],[Column 1]:[Column 32]])</f>
        <v>English,  Vietnamese</v>
      </c>
      <c r="C116" s="2" t="s">
        <v>1297</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t="s">
        <v>33</v>
      </c>
    </row>
    <row r="117" spans="1:34" ht="30" customHeight="1" x14ac:dyDescent="0.25">
      <c r="A117" s="1" t="s">
        <v>868</v>
      </c>
      <c r="B117" s="1" t="str">
        <f>_xlfn.TEXTJOIN(",  ",TRUE,Table24[[#This Row],[Column 1]:[Column 32]])</f>
        <v>English Only</v>
      </c>
      <c r="C117" s="2" t="s">
        <v>4</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30" customHeight="1" x14ac:dyDescent="0.25">
      <c r="A118" s="1" t="s">
        <v>234</v>
      </c>
      <c r="B118" s="1" t="str">
        <f>_xlfn.TEXTJOIN(",  ",TRUE,Table24[[#This Row],[Column 1]:[Column 32]])</f>
        <v>English Only</v>
      </c>
      <c r="C118" s="2" t="s">
        <v>4</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30" customHeight="1" x14ac:dyDescent="0.25">
      <c r="A119" s="1" t="s">
        <v>867</v>
      </c>
      <c r="B119" s="1" t="str">
        <f>_xlfn.TEXTJOIN(",  ",TRUE,Table24[[#This Row],[Column 1]:[Column 32]])</f>
        <v>English,  Farsi</v>
      </c>
      <c r="C119" s="2" t="s">
        <v>1297</v>
      </c>
      <c r="D119" s="2"/>
      <c r="E119" s="2"/>
      <c r="F119" s="2"/>
      <c r="G119" s="2"/>
      <c r="H119" s="2"/>
      <c r="I119" s="2"/>
      <c r="J119" s="2"/>
      <c r="K119" s="2"/>
      <c r="L119" s="2"/>
      <c r="M119" s="2"/>
      <c r="N119" s="2" t="s">
        <v>15</v>
      </c>
      <c r="O119" s="2"/>
      <c r="P119" s="2"/>
      <c r="Q119" s="2"/>
      <c r="R119" s="2"/>
      <c r="S119" s="2"/>
      <c r="T119" s="2"/>
      <c r="U119" s="2"/>
      <c r="V119" s="2"/>
      <c r="W119" s="2"/>
      <c r="X119" s="2"/>
      <c r="Y119" s="2"/>
      <c r="Z119" s="2"/>
      <c r="AA119" s="2"/>
      <c r="AB119" s="2"/>
      <c r="AC119" s="2"/>
      <c r="AD119" s="2"/>
      <c r="AE119" s="2"/>
      <c r="AF119" s="2"/>
      <c r="AG119" s="2"/>
      <c r="AH119" s="2"/>
    </row>
    <row r="120" spans="1:34" ht="30" customHeight="1" x14ac:dyDescent="0.25">
      <c r="A120" s="1" t="s">
        <v>879</v>
      </c>
      <c r="B120" s="1" t="str">
        <f>_xlfn.TEXTJOIN(",  ",TRUE,Table24[[#This Row],[Column 1]:[Column 32]])</f>
        <v>English Only</v>
      </c>
      <c r="C120" s="2" t="s">
        <v>4</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30" customHeight="1" x14ac:dyDescent="0.25">
      <c r="A121" s="1" t="s">
        <v>908</v>
      </c>
      <c r="B121" s="1" t="str">
        <f>_xlfn.TEXTJOIN(",  ",TRUE,Table24[[#This Row],[Column 1]:[Column 32]])</f>
        <v>English,  Spanish</v>
      </c>
      <c r="C121" s="2" t="s">
        <v>1297</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t="s">
        <v>28</v>
      </c>
      <c r="AC121" s="2"/>
      <c r="AD121" s="2"/>
      <c r="AE121" s="2"/>
      <c r="AF121" s="2"/>
      <c r="AG121" s="2"/>
      <c r="AH121" s="2"/>
    </row>
    <row r="122" spans="1:34" ht="30" customHeight="1" x14ac:dyDescent="0.25">
      <c r="A122" s="1" t="s">
        <v>75</v>
      </c>
      <c r="B122" s="1" t="str">
        <f>_xlfn.TEXTJOIN(",  ",TRUE,Table24[[#This Row],[Column 1]:[Column 32]])</f>
        <v>English,  Spanish</v>
      </c>
      <c r="C122" s="2" t="s">
        <v>1297</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t="s">
        <v>28</v>
      </c>
      <c r="AC122" s="2"/>
      <c r="AD122" s="2"/>
      <c r="AE122" s="2"/>
      <c r="AF122" s="2"/>
      <c r="AG122" s="2"/>
      <c r="AH122" s="2"/>
    </row>
    <row r="123" spans="1:34" ht="30" customHeight="1" x14ac:dyDescent="0.25">
      <c r="A123" s="1" t="s">
        <v>41</v>
      </c>
      <c r="B123" s="1" t="str">
        <f>_xlfn.TEXTJOIN(",  ",TRUE,Table24[[#This Row],[Column 1]:[Column 32]])</f>
        <v>English Only</v>
      </c>
      <c r="C123" s="2" t="s">
        <v>4</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30" customHeight="1" x14ac:dyDescent="0.25">
      <c r="A124" s="1" t="s">
        <v>267</v>
      </c>
      <c r="B124" s="1" t="str">
        <f>_xlfn.TEXTJOIN(",  ",TRUE,Table24[[#This Row],[Column 1]:[Column 32]])</f>
        <v>English,  Arabic,  Mandarin,  Portuguese,  Russian,  Spanish</v>
      </c>
      <c r="C124" s="2" t="s">
        <v>1297</v>
      </c>
      <c r="D124" s="2"/>
      <c r="E124" s="2"/>
      <c r="F124" s="2"/>
      <c r="G124" s="2" t="s">
        <v>8</v>
      </c>
      <c r="H124" s="2"/>
      <c r="I124" s="2"/>
      <c r="J124" s="2"/>
      <c r="K124" s="2"/>
      <c r="L124" s="2"/>
      <c r="M124" s="2"/>
      <c r="N124" s="2"/>
      <c r="O124" s="2"/>
      <c r="P124" s="2"/>
      <c r="Q124" s="2"/>
      <c r="R124" s="2"/>
      <c r="S124" s="2"/>
      <c r="T124" s="2"/>
      <c r="U124" s="2"/>
      <c r="V124" s="2" t="s">
        <v>23</v>
      </c>
      <c r="W124" s="2"/>
      <c r="X124" s="2"/>
      <c r="Y124" s="2" t="s">
        <v>25</v>
      </c>
      <c r="Z124" s="2" t="s">
        <v>26</v>
      </c>
      <c r="AA124" s="2"/>
      <c r="AB124" s="2" t="s">
        <v>28</v>
      </c>
      <c r="AC124" s="2"/>
      <c r="AD124" s="2"/>
      <c r="AE124" s="2"/>
      <c r="AF124" s="2"/>
      <c r="AG124" s="2"/>
      <c r="AH124" s="2"/>
    </row>
    <row r="125" spans="1:34" ht="30" customHeight="1" x14ac:dyDescent="0.25">
      <c r="A125" s="1" t="s">
        <v>109</v>
      </c>
      <c r="B125" s="1" t="str">
        <f>_xlfn.TEXTJOIN(",  ",TRUE,Table24[[#This Row],[Column 1]:[Column 32]])</f>
        <v>English,  Spanish</v>
      </c>
      <c r="C125" s="2" t="s">
        <v>1297</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t="s">
        <v>28</v>
      </c>
      <c r="AC125" s="2"/>
      <c r="AD125" s="2"/>
      <c r="AE125" s="2"/>
      <c r="AF125" s="2"/>
      <c r="AG125" s="2"/>
      <c r="AH125" s="2"/>
    </row>
    <row r="126" spans="1:34" ht="30" customHeight="1" x14ac:dyDescent="0.25">
      <c r="A126" s="1" t="s">
        <v>895</v>
      </c>
      <c r="B126" s="1" t="str">
        <f>_xlfn.TEXTJOIN(",  ",TRUE,Table24[[#This Row],[Column 1]:[Column 32]])</f>
        <v>English,  Armenian,  Russian</v>
      </c>
      <c r="C126" s="2" t="s">
        <v>1297</v>
      </c>
      <c r="D126" s="2"/>
      <c r="E126" s="2"/>
      <c r="F126" s="2"/>
      <c r="G126" s="2"/>
      <c r="H126" s="2" t="s">
        <v>9</v>
      </c>
      <c r="I126" s="2"/>
      <c r="J126" s="2"/>
      <c r="K126" s="2"/>
      <c r="L126" s="2"/>
      <c r="M126" s="2"/>
      <c r="N126" s="2"/>
      <c r="O126" s="2"/>
      <c r="P126" s="2"/>
      <c r="Q126" s="2"/>
      <c r="R126" s="2"/>
      <c r="S126" s="2"/>
      <c r="T126" s="2"/>
      <c r="U126" s="2"/>
      <c r="V126" s="2"/>
      <c r="W126" s="2"/>
      <c r="X126" s="2"/>
      <c r="Y126" s="2"/>
      <c r="Z126" s="2" t="s">
        <v>26</v>
      </c>
      <c r="AA126" s="2"/>
      <c r="AB126" s="2"/>
      <c r="AC126" s="2"/>
      <c r="AD126" s="2"/>
      <c r="AE126" s="2"/>
      <c r="AF126" s="2"/>
      <c r="AG126" s="2"/>
      <c r="AH126" s="2"/>
    </row>
    <row r="127" spans="1:34" ht="30" customHeight="1" x14ac:dyDescent="0.25">
      <c r="A127" s="1" t="s">
        <v>932</v>
      </c>
      <c r="B127" s="1" t="str">
        <f>_xlfn.TEXTJOIN(",  ",TRUE,Table24[[#This Row],[Column 1]:[Column 32]])</f>
        <v>English,  Russian,  Spanish,  Ukrainian</v>
      </c>
      <c r="C127" s="2" t="s">
        <v>1297</v>
      </c>
      <c r="D127" s="2"/>
      <c r="E127" s="2"/>
      <c r="F127" s="2"/>
      <c r="G127" s="2"/>
      <c r="H127" s="2"/>
      <c r="I127" s="2"/>
      <c r="J127" s="2"/>
      <c r="K127" s="2"/>
      <c r="L127" s="2"/>
      <c r="M127" s="2"/>
      <c r="N127" s="2"/>
      <c r="O127" s="2"/>
      <c r="P127" s="2"/>
      <c r="Q127" s="2"/>
      <c r="R127" s="2"/>
      <c r="S127" s="2"/>
      <c r="T127" s="2"/>
      <c r="U127" s="2"/>
      <c r="V127" s="2"/>
      <c r="W127" s="2"/>
      <c r="X127" s="2"/>
      <c r="Y127" s="2"/>
      <c r="Z127" s="2" t="s">
        <v>26</v>
      </c>
      <c r="AA127" s="2"/>
      <c r="AB127" s="2" t="s">
        <v>28</v>
      </c>
      <c r="AC127" s="2"/>
      <c r="AD127" s="2"/>
      <c r="AE127" s="2"/>
      <c r="AF127" s="2" t="s">
        <v>31</v>
      </c>
      <c r="AG127" s="2"/>
      <c r="AH127" s="2"/>
    </row>
    <row r="128" spans="1:34" ht="30" customHeight="1" x14ac:dyDescent="0.25">
      <c r="A128" s="1" t="s">
        <v>889</v>
      </c>
      <c r="B128" s="1" t="str">
        <f>_xlfn.TEXTJOIN(",  ",TRUE,Table24[[#This Row],[Column 1]:[Column 32]])</f>
        <v>English,  Spanish</v>
      </c>
      <c r="C128" s="2" t="s">
        <v>1297</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t="s">
        <v>28</v>
      </c>
      <c r="AC128" s="2"/>
      <c r="AD128" s="2"/>
      <c r="AE128" s="2"/>
      <c r="AF128" s="2"/>
      <c r="AG128" s="2"/>
      <c r="AH128" s="2"/>
    </row>
    <row r="129" spans="1:34" ht="30" customHeight="1" x14ac:dyDescent="0.25">
      <c r="A129" s="1" t="s">
        <v>125</v>
      </c>
      <c r="B129" s="1" t="str">
        <f>_xlfn.TEXTJOIN(",  ",TRUE,Table24[[#This Row],[Column 1]:[Column 32]])</f>
        <v>English,  Spanish</v>
      </c>
      <c r="C129" s="2" t="s">
        <v>1297</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t="s">
        <v>28</v>
      </c>
      <c r="AC129" s="2"/>
      <c r="AD129" s="2"/>
      <c r="AE129" s="2"/>
      <c r="AF129" s="2"/>
      <c r="AG129" s="2"/>
      <c r="AH129" s="2"/>
    </row>
    <row r="130" spans="1:34" ht="30" customHeight="1" x14ac:dyDescent="0.25">
      <c r="A130" s="1" t="s">
        <v>595</v>
      </c>
      <c r="B130" s="1" t="str">
        <f>_xlfn.TEXTJOIN(",  ",TRUE,Table24[[#This Row],[Column 1]:[Column 32]])</f>
        <v>English,  Russian,  Spanish</v>
      </c>
      <c r="C130" s="2" t="s">
        <v>1297</v>
      </c>
      <c r="D130" s="2"/>
      <c r="E130" s="2"/>
      <c r="F130" s="2"/>
      <c r="G130" s="2"/>
      <c r="H130" s="2"/>
      <c r="I130" s="2"/>
      <c r="J130" s="2"/>
      <c r="K130" s="2"/>
      <c r="L130" s="2"/>
      <c r="M130" s="2"/>
      <c r="N130" s="2"/>
      <c r="O130" s="2"/>
      <c r="P130" s="2"/>
      <c r="Q130" s="2"/>
      <c r="R130" s="2"/>
      <c r="S130" s="2"/>
      <c r="T130" s="2"/>
      <c r="U130" s="2"/>
      <c r="V130" s="2"/>
      <c r="W130" s="2"/>
      <c r="X130" s="2"/>
      <c r="Y130" s="2"/>
      <c r="Z130" s="2" t="s">
        <v>26</v>
      </c>
      <c r="AA130" s="2"/>
      <c r="AB130" s="2" t="s">
        <v>28</v>
      </c>
      <c r="AC130" s="2"/>
      <c r="AD130" s="2"/>
      <c r="AE130" s="2"/>
      <c r="AF130" s="2"/>
      <c r="AG130" s="2"/>
      <c r="AH130" s="2"/>
    </row>
    <row r="131" spans="1:34" ht="30" customHeight="1" x14ac:dyDescent="0.25">
      <c r="A131" s="1" t="s">
        <v>448</v>
      </c>
      <c r="B131" s="1" t="str">
        <f>_xlfn.TEXTJOIN(",  ",TRUE,Table24[[#This Row],[Column 1]:[Column 32]])</f>
        <v>English Only</v>
      </c>
      <c r="C131" s="2" t="s">
        <v>4</v>
      </c>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30" customHeight="1" x14ac:dyDescent="0.25">
      <c r="A132" s="1" t="s">
        <v>187</v>
      </c>
      <c r="B132" s="1" t="str">
        <f>_xlfn.TEXTJOIN(",  ",TRUE,Table24[[#This Row],[Column 1]:[Column 32]])</f>
        <v>English</v>
      </c>
      <c r="C132" s="2" t="s">
        <v>1297</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30" customHeight="1" x14ac:dyDescent="0.25">
      <c r="A133" s="1" t="s">
        <v>860</v>
      </c>
      <c r="B133" s="1" t="str">
        <f>_xlfn.TEXTJOIN(",  ",TRUE,Table24[[#This Row],[Column 1]:[Column 32]])</f>
        <v>English Only</v>
      </c>
      <c r="C133" s="2" t="s">
        <v>4</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30" customHeight="1" x14ac:dyDescent="0.25">
      <c r="A134" s="1" t="s">
        <v>83</v>
      </c>
      <c r="B134" s="1" t="str">
        <f>_xlfn.TEXTJOIN(",  ",TRUE,Table24[[#This Row],[Column 1]:[Column 32]])</f>
        <v>English,  Portuguese,  Spanish</v>
      </c>
      <c r="C134" s="2" t="s">
        <v>1297</v>
      </c>
      <c r="D134" s="2"/>
      <c r="E134" s="2"/>
      <c r="F134" s="2"/>
      <c r="G134" s="2"/>
      <c r="H134" s="2"/>
      <c r="I134" s="2"/>
      <c r="J134" s="2"/>
      <c r="K134" s="2"/>
      <c r="L134" s="2"/>
      <c r="M134" s="2"/>
      <c r="N134" s="2"/>
      <c r="O134" s="2"/>
      <c r="P134" s="2"/>
      <c r="Q134" s="2"/>
      <c r="R134" s="2"/>
      <c r="S134" s="2"/>
      <c r="T134" s="2"/>
      <c r="U134" s="2"/>
      <c r="V134" s="2"/>
      <c r="W134" s="2"/>
      <c r="X134" s="2"/>
      <c r="Y134" s="2" t="s">
        <v>25</v>
      </c>
      <c r="Z134" s="2"/>
      <c r="AA134" s="2"/>
      <c r="AB134" s="2" t="s">
        <v>28</v>
      </c>
      <c r="AC134" s="2"/>
      <c r="AD134" s="2"/>
      <c r="AE134" s="2"/>
      <c r="AF134" s="2"/>
      <c r="AG134" s="2"/>
      <c r="AH134" s="2"/>
    </row>
    <row r="135" spans="1:34" ht="30" customHeight="1" x14ac:dyDescent="0.25">
      <c r="A135" s="1" t="s">
        <v>357</v>
      </c>
      <c r="B135" s="1" t="str">
        <f>_xlfn.TEXTJOIN(",  ",TRUE,Table24[[#This Row],[Column 1]:[Column 32]])</f>
        <v>English Only</v>
      </c>
      <c r="C135" s="2" t="s">
        <v>4</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30" customHeight="1" x14ac:dyDescent="0.25">
      <c r="A136" s="1" t="s">
        <v>413</v>
      </c>
      <c r="B136" s="1" t="str">
        <f>_xlfn.TEXTJOIN(",  ",TRUE,Table24[[#This Row],[Column 1]:[Column 32]])</f>
        <v>English Only</v>
      </c>
      <c r="C136" s="2" t="s">
        <v>4</v>
      </c>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30" customHeight="1" x14ac:dyDescent="0.25">
      <c r="A137" s="1" t="s">
        <v>250</v>
      </c>
      <c r="B137" s="1" t="str">
        <f>_xlfn.TEXTJOIN(",  ",TRUE,Table24[[#This Row],[Column 1]:[Column 32]])</f>
        <v>English,  Spanish</v>
      </c>
      <c r="C137" s="2" t="s">
        <v>1297</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t="s">
        <v>28</v>
      </c>
      <c r="AC137" s="2"/>
      <c r="AD137" s="2"/>
      <c r="AE137" s="2"/>
      <c r="AF137" s="2"/>
      <c r="AG137" s="2"/>
      <c r="AH137" s="2"/>
    </row>
    <row r="138" spans="1:34" ht="30" customHeight="1" x14ac:dyDescent="0.25">
      <c r="A138" s="1" t="s">
        <v>900</v>
      </c>
      <c r="B138" s="1" t="str">
        <f>_xlfn.TEXTJOIN(",  ",TRUE,Table24[[#This Row],[Column 1]:[Column 32]])</f>
        <v>English,  Russian,  Spanish</v>
      </c>
      <c r="C138" s="2" t="s">
        <v>1297</v>
      </c>
      <c r="D138" s="2"/>
      <c r="E138" s="2"/>
      <c r="F138" s="2"/>
      <c r="G138" s="2"/>
      <c r="H138" s="2"/>
      <c r="I138" s="2"/>
      <c r="J138" s="2"/>
      <c r="K138" s="2"/>
      <c r="L138" s="2"/>
      <c r="M138" s="2"/>
      <c r="N138" s="2"/>
      <c r="O138" s="2"/>
      <c r="P138" s="2"/>
      <c r="Q138" s="2"/>
      <c r="R138" s="2"/>
      <c r="S138" s="2"/>
      <c r="T138" s="2"/>
      <c r="U138" s="2"/>
      <c r="V138" s="2"/>
      <c r="W138" s="2"/>
      <c r="X138" s="2"/>
      <c r="Y138" s="2"/>
      <c r="Z138" s="2" t="s">
        <v>26</v>
      </c>
      <c r="AA138" s="2"/>
      <c r="AB138" s="2" t="s">
        <v>28</v>
      </c>
      <c r="AC138" s="2"/>
      <c r="AD138" s="2"/>
      <c r="AE138" s="2"/>
      <c r="AF138" s="2"/>
      <c r="AG138" s="2"/>
      <c r="AH138" s="2"/>
    </row>
    <row r="139" spans="1:34" ht="30" customHeight="1" x14ac:dyDescent="0.25">
      <c r="A139" s="1" t="s">
        <v>136</v>
      </c>
      <c r="B139" s="1" t="str">
        <f>_xlfn.TEXTJOIN(",  ",TRUE,Table24[[#This Row],[Column 1]:[Column 32]])</f>
        <v>English Only</v>
      </c>
      <c r="C139" s="2" t="s">
        <v>4</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30" customHeight="1" x14ac:dyDescent="0.25">
      <c r="A140" s="1" t="s">
        <v>535</v>
      </c>
      <c r="B140" s="1" t="str">
        <f>_xlfn.TEXTJOIN(",  ",TRUE,Table24[[#This Row],[Column 1]:[Column 32]])</f>
        <v>English Only</v>
      </c>
      <c r="C140" s="2" t="s">
        <v>4</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30" customHeight="1" x14ac:dyDescent="0.25">
      <c r="A141" s="1" t="s">
        <v>951</v>
      </c>
      <c r="B141" s="1" t="str">
        <f>_xlfn.TEXTJOIN(",  ",TRUE,Table24[[#This Row],[Column 1]:[Column 32]])</f>
        <v>English,  French,  Spanish</v>
      </c>
      <c r="C141" s="2" t="s">
        <v>1297</v>
      </c>
      <c r="D141" s="2"/>
      <c r="E141" s="2"/>
      <c r="F141" s="2"/>
      <c r="G141" s="2"/>
      <c r="H141" s="2"/>
      <c r="I141" s="2"/>
      <c r="J141" s="2"/>
      <c r="K141" s="2"/>
      <c r="L141" s="2"/>
      <c r="M141" s="2"/>
      <c r="N141" s="2"/>
      <c r="O141" s="2" t="s">
        <v>16</v>
      </c>
      <c r="P141" s="2"/>
      <c r="Q141" s="2"/>
      <c r="R141" s="2"/>
      <c r="S141" s="2"/>
      <c r="T141" s="2"/>
      <c r="U141" s="2"/>
      <c r="V141" s="2"/>
      <c r="W141" s="2"/>
      <c r="X141" s="2"/>
      <c r="Y141" s="2"/>
      <c r="Z141" s="2"/>
      <c r="AA141" s="2"/>
      <c r="AB141" s="2" t="s">
        <v>28</v>
      </c>
      <c r="AC141" s="2"/>
      <c r="AD141" s="2"/>
      <c r="AE141" s="2"/>
      <c r="AF141" s="2"/>
      <c r="AG141" s="2"/>
      <c r="AH141" s="2"/>
    </row>
    <row r="142" spans="1:34" ht="30" customHeight="1" x14ac:dyDescent="0.25">
      <c r="A142" s="1" t="s">
        <v>145</v>
      </c>
      <c r="B142" s="1" t="str">
        <f>_xlfn.TEXTJOIN(",  ",TRUE,Table24[[#This Row],[Column 1]:[Column 32]])</f>
        <v>English,  Spanish</v>
      </c>
      <c r="C142" s="2" t="s">
        <v>1297</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t="s">
        <v>28</v>
      </c>
      <c r="AC142" s="2"/>
      <c r="AD142" s="2"/>
      <c r="AE142" s="2"/>
      <c r="AF142" s="2"/>
      <c r="AG142" s="2"/>
      <c r="AH142" s="2"/>
    </row>
    <row r="143" spans="1:34" ht="30" customHeight="1" x14ac:dyDescent="0.25">
      <c r="A143" s="1" t="s">
        <v>948</v>
      </c>
      <c r="B143" s="1" t="str">
        <f>_xlfn.TEXTJOIN(",  ",TRUE,Table24[[#This Row],[Column 1]:[Column 32]])</f>
        <v>English Only</v>
      </c>
      <c r="C143" s="2" t="s">
        <v>4</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30" customHeight="1" x14ac:dyDescent="0.25">
      <c r="A144" s="1" t="s">
        <v>880</v>
      </c>
      <c r="B144" s="1" t="str">
        <f>_xlfn.TEXTJOIN(",  ",TRUE,Table24[[#This Row],[Column 1]:[Column 32]])</f>
        <v>English,  Armenian,  Farsi,  Spanish</v>
      </c>
      <c r="C144" s="2" t="s">
        <v>1297</v>
      </c>
      <c r="D144" s="2"/>
      <c r="E144" s="2"/>
      <c r="F144" s="2"/>
      <c r="G144" s="2"/>
      <c r="H144" s="2" t="s">
        <v>9</v>
      </c>
      <c r="I144" s="2"/>
      <c r="J144" s="2"/>
      <c r="K144" s="2"/>
      <c r="L144" s="2"/>
      <c r="M144" s="2"/>
      <c r="N144" s="2" t="s">
        <v>15</v>
      </c>
      <c r="O144" s="2"/>
      <c r="P144" s="2"/>
      <c r="Q144" s="2"/>
      <c r="R144" s="2"/>
      <c r="S144" s="2"/>
      <c r="T144" s="2"/>
      <c r="U144" s="2"/>
      <c r="V144" s="2"/>
      <c r="W144" s="2"/>
      <c r="X144" s="2"/>
      <c r="Y144" s="2"/>
      <c r="Z144" s="2"/>
      <c r="AA144" s="2"/>
      <c r="AB144" s="2" t="s">
        <v>28</v>
      </c>
      <c r="AC144" s="2"/>
      <c r="AD144" s="2"/>
      <c r="AE144" s="2"/>
      <c r="AF144" s="2"/>
      <c r="AG144" s="2"/>
      <c r="AH144" s="2"/>
    </row>
    <row r="145" spans="1:34" ht="30" customHeight="1" x14ac:dyDescent="0.25">
      <c r="A145" s="1" t="s">
        <v>431</v>
      </c>
      <c r="B145" s="1" t="str">
        <f>_xlfn.TEXTJOIN(",  ",TRUE,Table24[[#This Row],[Column 1]:[Column 32]])</f>
        <v>English Only</v>
      </c>
      <c r="C145" s="2" t="s">
        <v>4</v>
      </c>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30" customHeight="1" x14ac:dyDescent="0.25">
      <c r="A146" s="1" t="s">
        <v>363</v>
      </c>
      <c r="B146" s="1" t="str">
        <f>_xlfn.TEXTJOIN(",  ",TRUE,Table24[[#This Row],[Column 1]:[Column 32]])</f>
        <v>English,  Spanish</v>
      </c>
      <c r="C146" s="2" t="s">
        <v>1297</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t="s">
        <v>28</v>
      </c>
      <c r="AC146" s="2"/>
      <c r="AD146" s="2"/>
      <c r="AE146" s="2"/>
      <c r="AF146" s="2"/>
      <c r="AG146" s="2"/>
      <c r="AH146" s="2"/>
    </row>
    <row r="147" spans="1:34" ht="30" customHeight="1" x14ac:dyDescent="0.25">
      <c r="A147" s="1" t="s">
        <v>468</v>
      </c>
      <c r="B147" s="1" t="str">
        <f>_xlfn.TEXTJOIN(",  ",TRUE,Table24[[#This Row],[Column 1]:[Column 32]])</f>
        <v>English Only</v>
      </c>
      <c r="C147" s="2" t="s">
        <v>4</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30" customHeight="1" x14ac:dyDescent="0.25">
      <c r="A148" s="1" t="s">
        <v>935</v>
      </c>
      <c r="B148" s="1" t="str">
        <f>_xlfn.TEXTJOIN(",  ",TRUE,Table24[[#This Row],[Column 1]:[Column 32]])</f>
        <v>English,  Spanish</v>
      </c>
      <c r="C148" s="2" t="s">
        <v>1297</v>
      </c>
      <c r="D148" s="2"/>
      <c r="E148" s="2"/>
      <c r="F148" s="2"/>
      <c r="G148" s="2"/>
      <c r="H148" s="2"/>
      <c r="I148" s="2"/>
      <c r="J148" s="2"/>
      <c r="K148" s="2"/>
      <c r="L148" s="2"/>
      <c r="M148" s="2"/>
      <c r="N148" s="2"/>
      <c r="O148" s="2"/>
      <c r="P148" s="2"/>
      <c r="Q148" s="2"/>
      <c r="R148" s="2"/>
      <c r="S148" s="2"/>
      <c r="T148" s="2"/>
      <c r="U148" s="2"/>
      <c r="V148" s="2"/>
      <c r="W148" s="2"/>
      <c r="X148" s="2"/>
      <c r="Y148" s="2"/>
      <c r="Z148" s="2"/>
      <c r="AA148" s="2"/>
      <c r="AB148" s="2" t="s">
        <v>28</v>
      </c>
      <c r="AC148" s="2"/>
      <c r="AD148" s="2"/>
      <c r="AE148" s="2"/>
      <c r="AF148" s="2"/>
      <c r="AG148" s="2"/>
      <c r="AH148" s="2"/>
    </row>
    <row r="149" spans="1:34" ht="30" customHeight="1" x14ac:dyDescent="0.25">
      <c r="A149" s="1" t="s">
        <v>1036</v>
      </c>
      <c r="B149" s="1" t="str">
        <f>_xlfn.TEXTJOIN(",  ",TRUE,Table24[[#This Row],[Column 1]:[Column 32]])</f>
        <v>English Only</v>
      </c>
      <c r="C149" s="2" t="s">
        <v>4</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30" customHeight="1" x14ac:dyDescent="0.25">
      <c r="A150" s="1" t="s">
        <v>264</v>
      </c>
      <c r="B150" s="1" t="str">
        <f>_xlfn.TEXTJOIN(",  ",TRUE,Table24[[#This Row],[Column 1]:[Column 32]])</f>
        <v>English,  Spanish</v>
      </c>
      <c r="C150" s="2" t="s">
        <v>1297</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t="s">
        <v>28</v>
      </c>
      <c r="AC150" s="2"/>
      <c r="AD150" s="2"/>
      <c r="AE150" s="2"/>
      <c r="AF150" s="2"/>
      <c r="AG150" s="2"/>
      <c r="AH150" s="2"/>
    </row>
    <row r="151" spans="1:34" ht="30" customHeight="1" x14ac:dyDescent="0.25">
      <c r="A151" s="1" t="s">
        <v>286</v>
      </c>
      <c r="B151" s="1" t="str">
        <f>_xlfn.TEXTJOIN(",  ",TRUE,Table24[[#This Row],[Column 1]:[Column 32]])</f>
        <v>English,  Spanish</v>
      </c>
      <c r="C151" s="2" t="s">
        <v>1297</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t="s">
        <v>28</v>
      </c>
      <c r="AC151" s="2"/>
      <c r="AD151" s="2"/>
      <c r="AE151" s="2"/>
      <c r="AF151" s="2"/>
      <c r="AG151" s="2"/>
      <c r="AH151" s="2"/>
    </row>
    <row r="152" spans="1:34" ht="30" customHeight="1" x14ac:dyDescent="0.25">
      <c r="A152" s="1" t="s">
        <v>983</v>
      </c>
      <c r="B152" s="1" t="str">
        <f>_xlfn.TEXTJOIN(",  ",TRUE,Table24[[#This Row],[Column 1]:[Column 32]])</f>
        <v>English,  Greek,  Spanish</v>
      </c>
      <c r="C152" s="2" t="s">
        <v>1297</v>
      </c>
      <c r="D152" s="2"/>
      <c r="E152" s="2"/>
      <c r="F152" s="2"/>
      <c r="G152" s="2"/>
      <c r="H152" s="2"/>
      <c r="I152" s="2"/>
      <c r="J152" s="2"/>
      <c r="K152" s="2"/>
      <c r="L152" s="2"/>
      <c r="M152" s="2"/>
      <c r="N152" s="2"/>
      <c r="O152" s="2"/>
      <c r="P152" s="2" t="s">
        <v>17</v>
      </c>
      <c r="Q152" s="2"/>
      <c r="R152" s="2"/>
      <c r="S152" s="2"/>
      <c r="T152" s="2"/>
      <c r="U152" s="2"/>
      <c r="V152" s="2"/>
      <c r="W152" s="2"/>
      <c r="X152" s="2"/>
      <c r="Y152" s="2"/>
      <c r="Z152" s="2"/>
      <c r="AA152" s="2"/>
      <c r="AB152" s="2" t="s">
        <v>28</v>
      </c>
      <c r="AC152" s="2"/>
      <c r="AD152" s="2"/>
      <c r="AE152" s="2"/>
      <c r="AF152" s="2"/>
      <c r="AG152" s="2"/>
      <c r="AH152" s="2"/>
    </row>
    <row r="153" spans="1:34" ht="30" customHeight="1" x14ac:dyDescent="0.25">
      <c r="A153" s="1" t="s">
        <v>903</v>
      </c>
      <c r="B153" s="1" t="str">
        <f>_xlfn.TEXTJOIN(",  ",TRUE,Table24[[#This Row],[Column 1]:[Column 32]])</f>
        <v>English Only</v>
      </c>
      <c r="C153" s="2" t="s">
        <v>4</v>
      </c>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30" customHeight="1" x14ac:dyDescent="0.25">
      <c r="A154" s="1" t="s">
        <v>559</v>
      </c>
      <c r="B154" s="1" t="str">
        <f>_xlfn.TEXTJOIN(",  ",TRUE,Table24[[#This Row],[Column 1]:[Column 32]])</f>
        <v>English,  Korean,  Spanish</v>
      </c>
      <c r="C154" s="2" t="s">
        <v>1297</v>
      </c>
      <c r="D154" s="2"/>
      <c r="E154" s="2"/>
      <c r="F154" s="2"/>
      <c r="G154" s="2"/>
      <c r="H154" s="2"/>
      <c r="I154" s="2"/>
      <c r="J154" s="2"/>
      <c r="K154" s="2"/>
      <c r="L154" s="2"/>
      <c r="M154" s="2"/>
      <c r="N154" s="2"/>
      <c r="O154" s="2"/>
      <c r="P154" s="2"/>
      <c r="Q154" s="2"/>
      <c r="R154" s="2"/>
      <c r="S154" s="2"/>
      <c r="T154" s="2" t="s">
        <v>21</v>
      </c>
      <c r="U154" s="2"/>
      <c r="V154" s="2"/>
      <c r="W154" s="2"/>
      <c r="X154" s="2"/>
      <c r="Y154" s="2"/>
      <c r="Z154" s="2"/>
      <c r="AA154" s="2"/>
      <c r="AB154" s="2" t="s">
        <v>28</v>
      </c>
      <c r="AC154" s="2"/>
      <c r="AD154" s="2"/>
      <c r="AE154" s="2"/>
      <c r="AF154" s="2"/>
      <c r="AG154" s="2"/>
      <c r="AH154" s="2"/>
    </row>
    <row r="155" spans="1:34" ht="30" customHeight="1" x14ac:dyDescent="0.25">
      <c r="A155" s="1" t="s">
        <v>156</v>
      </c>
      <c r="B155" s="1" t="str">
        <f>_xlfn.TEXTJOIN(",  ",TRUE,Table24[[#This Row],[Column 1]:[Column 32]])</f>
        <v>English,  Spanish</v>
      </c>
      <c r="C155" s="2" t="s">
        <v>1297</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t="s">
        <v>28</v>
      </c>
      <c r="AC155" s="2"/>
      <c r="AD155" s="2"/>
      <c r="AE155" s="2"/>
      <c r="AF155" s="2"/>
      <c r="AG155" s="2"/>
      <c r="AH155" s="2"/>
    </row>
    <row r="156" spans="1:34" ht="30" customHeight="1" x14ac:dyDescent="0.25">
      <c r="A156" s="1" t="s">
        <v>910</v>
      </c>
      <c r="B156" s="1" t="str">
        <f>_xlfn.TEXTJOIN(",  ",TRUE,Table24[[#This Row],[Column 1]:[Column 32]])</f>
        <v>English Only</v>
      </c>
      <c r="C156" s="2" t="s">
        <v>4</v>
      </c>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30" customHeight="1" x14ac:dyDescent="0.25">
      <c r="A157" s="1" t="s">
        <v>921</v>
      </c>
      <c r="B157" s="1" t="str">
        <f>_xlfn.TEXTJOIN(",  ",TRUE,Table24[[#This Row],[Column 1]:[Column 32]])</f>
        <v>English,  Spanish</v>
      </c>
      <c r="C157" s="2" t="s">
        <v>1297</v>
      </c>
      <c r="D157" s="2"/>
      <c r="E157" s="2"/>
      <c r="F157" s="2"/>
      <c r="G157" s="2"/>
      <c r="H157" s="2"/>
      <c r="I157" s="2"/>
      <c r="J157" s="2"/>
      <c r="K157" s="2"/>
      <c r="L157" s="2"/>
      <c r="M157" s="2"/>
      <c r="N157" s="2"/>
      <c r="O157" s="2"/>
      <c r="P157" s="2"/>
      <c r="Q157" s="2"/>
      <c r="R157" s="2"/>
      <c r="S157" s="2"/>
      <c r="T157" s="2"/>
      <c r="U157" s="2"/>
      <c r="V157" s="2"/>
      <c r="W157" s="2"/>
      <c r="X157" s="2"/>
      <c r="Y157" s="2"/>
      <c r="Z157" s="2"/>
      <c r="AA157" s="2"/>
      <c r="AB157" s="2" t="s">
        <v>28</v>
      </c>
      <c r="AC157" s="2"/>
      <c r="AD157" s="2"/>
      <c r="AE157" s="2"/>
      <c r="AF157" s="2"/>
      <c r="AG157" s="2"/>
      <c r="AH157" s="2"/>
    </row>
    <row r="158" spans="1:34" ht="30" customHeight="1" x14ac:dyDescent="0.25">
      <c r="A158" s="1" t="s">
        <v>940</v>
      </c>
      <c r="B158" s="1" t="str">
        <f>_xlfn.TEXTJOIN(",  ",TRUE,Table24[[#This Row],[Column 1]:[Column 32]])</f>
        <v>English Only</v>
      </c>
      <c r="C158" s="2" t="s">
        <v>4</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30" customHeight="1" x14ac:dyDescent="0.25">
      <c r="A159" s="1" t="s">
        <v>484</v>
      </c>
      <c r="B159" s="1" t="str">
        <f>_xlfn.TEXTJOIN(",  ",TRUE,Table24[[#This Row],[Column 1]:[Column 32]])</f>
        <v>English,  Spanish</v>
      </c>
      <c r="C159" s="2" t="s">
        <v>1297</v>
      </c>
      <c r="D159" s="2"/>
      <c r="E159" s="2"/>
      <c r="F159" s="2"/>
      <c r="G159" s="2"/>
      <c r="H159" s="2"/>
      <c r="I159" s="2"/>
      <c r="J159" s="2"/>
      <c r="K159" s="2"/>
      <c r="L159" s="2"/>
      <c r="M159" s="2"/>
      <c r="N159" s="2"/>
      <c r="O159" s="2"/>
      <c r="P159" s="2"/>
      <c r="Q159" s="2"/>
      <c r="R159" s="2"/>
      <c r="S159" s="2"/>
      <c r="T159" s="2"/>
      <c r="U159" s="2"/>
      <c r="V159" s="2"/>
      <c r="W159" s="2"/>
      <c r="X159" s="2"/>
      <c r="Y159" s="2"/>
      <c r="Z159" s="2"/>
      <c r="AA159" s="2"/>
      <c r="AB159" s="2" t="s">
        <v>28</v>
      </c>
      <c r="AC159" s="2"/>
      <c r="AD159" s="2"/>
      <c r="AE159" s="2"/>
      <c r="AF159" s="2"/>
      <c r="AG159" s="2"/>
      <c r="AH159" s="2"/>
    </row>
    <row r="160" spans="1:34" ht="30" customHeight="1" x14ac:dyDescent="0.25">
      <c r="A160" s="1" t="s">
        <v>909</v>
      </c>
      <c r="B160" s="1" t="str">
        <f>_xlfn.TEXTJOIN(",  ",TRUE,Table24[[#This Row],[Column 1]:[Column 32]])</f>
        <v>English Only</v>
      </c>
      <c r="C160" s="2" t="s">
        <v>4</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30" customHeight="1" x14ac:dyDescent="0.25">
      <c r="A161" s="1" t="s">
        <v>439</v>
      </c>
      <c r="B161" s="1" t="str">
        <f>_xlfn.TEXTJOIN(",  ",TRUE,Table24[[#This Row],[Column 1]:[Column 32]])</f>
        <v>English,  Spanish</v>
      </c>
      <c r="C161" s="2" t="s">
        <v>1297</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t="s">
        <v>28</v>
      </c>
      <c r="AC161" s="2"/>
      <c r="AD161" s="2"/>
      <c r="AE161" s="2"/>
      <c r="AF161" s="2"/>
      <c r="AG161" s="2"/>
      <c r="AH161" s="2"/>
    </row>
    <row r="162" spans="1:34" ht="30" customHeight="1" x14ac:dyDescent="0.25">
      <c r="A162" s="1" t="s">
        <v>541</v>
      </c>
      <c r="B162" s="1" t="str">
        <f>_xlfn.TEXTJOIN(",  ",TRUE,Table24[[#This Row],[Column 1]:[Column 32]])</f>
        <v>English,  Farsi,  Spanish</v>
      </c>
      <c r="C162" s="2" t="s">
        <v>1297</v>
      </c>
      <c r="D162" s="2"/>
      <c r="E162" s="2"/>
      <c r="F162" s="2"/>
      <c r="G162" s="2"/>
      <c r="H162" s="2"/>
      <c r="I162" s="2"/>
      <c r="J162" s="2"/>
      <c r="K162" s="2"/>
      <c r="L162" s="2"/>
      <c r="M162" s="2"/>
      <c r="N162" s="2" t="s">
        <v>15</v>
      </c>
      <c r="O162" s="2"/>
      <c r="P162" s="2"/>
      <c r="Q162" s="2"/>
      <c r="R162" s="2"/>
      <c r="S162" s="2"/>
      <c r="T162" s="2"/>
      <c r="U162" s="2"/>
      <c r="V162" s="2"/>
      <c r="W162" s="2"/>
      <c r="X162" s="2"/>
      <c r="Y162" s="2"/>
      <c r="Z162" s="2"/>
      <c r="AA162" s="2"/>
      <c r="AB162" s="2" t="s">
        <v>28</v>
      </c>
      <c r="AC162" s="2"/>
      <c r="AD162" s="2"/>
      <c r="AE162" s="2"/>
      <c r="AF162" s="2"/>
      <c r="AG162" s="2"/>
      <c r="AH162" s="2"/>
    </row>
    <row r="163" spans="1:34" ht="30" customHeight="1" x14ac:dyDescent="0.25">
      <c r="A163" s="1" t="s">
        <v>423</v>
      </c>
      <c r="B163" s="1" t="str">
        <f>_xlfn.TEXTJOIN(",  ",TRUE,Table24[[#This Row],[Column 1]:[Column 32]])</f>
        <v>English Only</v>
      </c>
      <c r="C163" s="2" t="s">
        <v>4</v>
      </c>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30" customHeight="1" x14ac:dyDescent="0.25">
      <c r="A164" s="1" t="s">
        <v>354</v>
      </c>
      <c r="B164" s="1" t="str">
        <f>_xlfn.TEXTJOIN(",  ",TRUE,Table24[[#This Row],[Column 1]:[Column 32]])</f>
        <v>English Only,  Spanish</v>
      </c>
      <c r="C164" s="2" t="s">
        <v>4</v>
      </c>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28</v>
      </c>
      <c r="AC164" s="2"/>
      <c r="AD164" s="2"/>
      <c r="AE164" s="2"/>
      <c r="AF164" s="2"/>
      <c r="AG164" s="2"/>
      <c r="AH164" s="2"/>
    </row>
    <row r="165" spans="1:34" ht="30" customHeight="1" x14ac:dyDescent="0.25">
      <c r="A165" s="1" t="s">
        <v>278</v>
      </c>
      <c r="B165" s="1" t="str">
        <f>_xlfn.TEXTJOIN(",  ",TRUE,Table24[[#This Row],[Column 1]:[Column 32]])</f>
        <v>English,  Spanish</v>
      </c>
      <c r="C165" s="2" t="s">
        <v>1297</v>
      </c>
      <c r="D165" s="2"/>
      <c r="E165" s="2"/>
      <c r="F165" s="2"/>
      <c r="G165" s="2"/>
      <c r="H165" s="2"/>
      <c r="I165" s="2"/>
      <c r="J165" s="2"/>
      <c r="K165" s="2"/>
      <c r="L165" s="2"/>
      <c r="M165" s="2"/>
      <c r="N165" s="2"/>
      <c r="O165" s="2"/>
      <c r="P165" s="2"/>
      <c r="Q165" s="2"/>
      <c r="R165" s="2"/>
      <c r="S165" s="2"/>
      <c r="T165" s="2"/>
      <c r="U165" s="2"/>
      <c r="V165" s="2"/>
      <c r="W165" s="2"/>
      <c r="X165" s="2"/>
      <c r="Y165" s="2"/>
      <c r="Z165" s="2"/>
      <c r="AA165" s="2"/>
      <c r="AB165" s="2" t="s">
        <v>28</v>
      </c>
      <c r="AC165" s="2"/>
      <c r="AD165" s="2"/>
      <c r="AE165" s="2"/>
      <c r="AF165" s="2"/>
      <c r="AG165" s="2"/>
      <c r="AH165" s="2"/>
    </row>
    <row r="166" spans="1:34" ht="30" customHeight="1" x14ac:dyDescent="0.25">
      <c r="A166" s="1" t="s">
        <v>341</v>
      </c>
      <c r="B166" s="1" t="str">
        <f>_xlfn.TEXTJOIN(",  ",TRUE,Table24[[#This Row],[Column 1]:[Column 32]])</f>
        <v>English Only</v>
      </c>
      <c r="C166" s="2" t="s">
        <v>4</v>
      </c>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30" customHeight="1" x14ac:dyDescent="0.25">
      <c r="A167" s="1" t="s">
        <v>854</v>
      </c>
      <c r="B167" s="1" t="str">
        <f>_xlfn.TEXTJOIN(",  ",TRUE,Table24[[#This Row],[Column 1]:[Column 32]])</f>
        <v>English,  Hmong,  Spanish</v>
      </c>
      <c r="C167" s="2" t="s">
        <v>1297</v>
      </c>
      <c r="D167" s="2"/>
      <c r="E167" s="2"/>
      <c r="F167" s="2"/>
      <c r="G167" s="2"/>
      <c r="H167" s="2"/>
      <c r="I167" s="2"/>
      <c r="J167" s="2"/>
      <c r="K167" s="2"/>
      <c r="L167" s="2"/>
      <c r="M167" s="2"/>
      <c r="N167" s="2"/>
      <c r="O167" s="2"/>
      <c r="P167" s="2"/>
      <c r="Q167" s="2"/>
      <c r="R167" s="2" t="s">
        <v>19</v>
      </c>
      <c r="S167" s="2"/>
      <c r="T167" s="2"/>
      <c r="U167" s="2"/>
      <c r="V167" s="2"/>
      <c r="W167" s="2"/>
      <c r="X167" s="2"/>
      <c r="Y167" s="2"/>
      <c r="Z167" s="2"/>
      <c r="AA167" s="2"/>
      <c r="AB167" s="2" t="s">
        <v>28</v>
      </c>
      <c r="AC167" s="2"/>
      <c r="AD167" s="2"/>
      <c r="AE167" s="2"/>
      <c r="AF167" s="2"/>
      <c r="AG167" s="2"/>
      <c r="AH167" s="2"/>
    </row>
    <row r="168" spans="1:34" ht="30" customHeight="1" x14ac:dyDescent="0.25">
      <c r="A168" s="1" t="s">
        <v>312</v>
      </c>
      <c r="B168" s="1" t="str">
        <f>_xlfn.TEXTJOIN(",  ",TRUE,Table24[[#This Row],[Column 1]:[Column 32]])</f>
        <v>English,  Spanish</v>
      </c>
      <c r="C168" s="2" t="s">
        <v>1297</v>
      </c>
      <c r="D168" s="2"/>
      <c r="E168" s="2"/>
      <c r="F168" s="2"/>
      <c r="G168" s="2"/>
      <c r="H168" s="2"/>
      <c r="I168" s="2"/>
      <c r="J168" s="2"/>
      <c r="K168" s="2"/>
      <c r="L168" s="2"/>
      <c r="M168" s="2"/>
      <c r="N168" s="2"/>
      <c r="O168" s="2"/>
      <c r="P168" s="2"/>
      <c r="Q168" s="2"/>
      <c r="R168" s="2"/>
      <c r="S168" s="2"/>
      <c r="T168" s="2"/>
      <c r="U168" s="2"/>
      <c r="V168" s="2"/>
      <c r="W168" s="2"/>
      <c r="X168" s="2"/>
      <c r="Y168" s="2"/>
      <c r="Z168" s="2"/>
      <c r="AA168" s="2"/>
      <c r="AB168" s="2" t="s">
        <v>28</v>
      </c>
      <c r="AC168" s="2"/>
      <c r="AD168" s="2"/>
      <c r="AE168" s="2"/>
      <c r="AF168" s="2"/>
      <c r="AG168" s="2"/>
      <c r="AH168" s="2"/>
    </row>
    <row r="169" spans="1:34" ht="30" customHeight="1" x14ac:dyDescent="0.25">
      <c r="A169" s="1" t="s">
        <v>465</v>
      </c>
      <c r="B169" s="1" t="str">
        <f>_xlfn.TEXTJOIN(",  ",TRUE,Table24[[#This Row],[Column 1]:[Column 32]])</f>
        <v>English,  French</v>
      </c>
      <c r="C169" s="2" t="s">
        <v>1297</v>
      </c>
      <c r="D169" s="2"/>
      <c r="E169" s="2"/>
      <c r="F169" s="2"/>
      <c r="G169" s="2"/>
      <c r="H169" s="2"/>
      <c r="I169" s="2"/>
      <c r="J169" s="2"/>
      <c r="K169" s="2"/>
      <c r="L169" s="2"/>
      <c r="M169" s="2"/>
      <c r="N169" s="2"/>
      <c r="O169" s="2" t="s">
        <v>16</v>
      </c>
      <c r="P169" s="2"/>
      <c r="Q169" s="2"/>
      <c r="R169" s="2"/>
      <c r="S169" s="2"/>
      <c r="T169" s="2"/>
      <c r="U169" s="2"/>
      <c r="V169" s="2"/>
      <c r="W169" s="2"/>
      <c r="X169" s="2"/>
      <c r="Y169" s="2"/>
      <c r="Z169" s="2"/>
      <c r="AA169" s="2"/>
      <c r="AB169" s="2"/>
      <c r="AC169" s="2"/>
      <c r="AD169" s="2"/>
      <c r="AE169" s="2"/>
      <c r="AF169" s="2"/>
      <c r="AG169" s="2"/>
      <c r="AH169" s="2"/>
    </row>
    <row r="170" spans="1:34" ht="30" customHeight="1" x14ac:dyDescent="0.25">
      <c r="A170" s="1" t="s">
        <v>394</v>
      </c>
      <c r="B170" s="1" t="str">
        <f>_xlfn.TEXTJOIN(",  ",TRUE,Table24[[#This Row],[Column 1]:[Column 32]])</f>
        <v>English Only</v>
      </c>
      <c r="C170" s="2" t="s">
        <v>4</v>
      </c>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30" customHeight="1" x14ac:dyDescent="0.25">
      <c r="A171" s="1" t="s">
        <v>890</v>
      </c>
      <c r="B171" s="1" t="str">
        <f>_xlfn.TEXTJOIN(",  ",TRUE,Table24[[#This Row],[Column 1]:[Column 32]])</f>
        <v>English Only</v>
      </c>
      <c r="C171" s="2" t="s">
        <v>4</v>
      </c>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30" customHeight="1" x14ac:dyDescent="0.25">
      <c r="A172" s="1" t="s">
        <v>171</v>
      </c>
      <c r="B172" s="1" t="str">
        <f>_xlfn.TEXTJOIN(",  ",TRUE,Table24[[#This Row],[Column 1]:[Column 32]])</f>
        <v>English,  Spanish</v>
      </c>
      <c r="C172" s="2" t="s">
        <v>1297</v>
      </c>
      <c r="D172" s="2"/>
      <c r="E172" s="2"/>
      <c r="F172" s="2"/>
      <c r="G172" s="2"/>
      <c r="H172" s="2"/>
      <c r="I172" s="2"/>
      <c r="J172" s="2"/>
      <c r="K172" s="2"/>
      <c r="L172" s="2"/>
      <c r="M172" s="2"/>
      <c r="N172" s="2"/>
      <c r="O172" s="2"/>
      <c r="P172" s="2"/>
      <c r="Q172" s="2"/>
      <c r="R172" s="2"/>
      <c r="S172" s="2"/>
      <c r="T172" s="2"/>
      <c r="U172" s="2"/>
      <c r="V172" s="2"/>
      <c r="W172" s="2"/>
      <c r="X172" s="2"/>
      <c r="Y172" s="2"/>
      <c r="Z172" s="2"/>
      <c r="AA172" s="2"/>
      <c r="AB172" s="2" t="s">
        <v>28</v>
      </c>
      <c r="AC172" s="2"/>
      <c r="AD172" s="2"/>
      <c r="AE172" s="2"/>
      <c r="AF172" s="2"/>
      <c r="AG172" s="2"/>
      <c r="AH172" s="2"/>
    </row>
    <row r="173" spans="1:34" ht="30" customHeight="1" x14ac:dyDescent="0.25">
      <c r="A173" s="1" t="s">
        <v>405</v>
      </c>
      <c r="B173" s="1" t="str">
        <f>_xlfn.TEXTJOIN(",  ",TRUE,Table24[[#This Row],[Column 1]:[Column 32]])</f>
        <v>English Only</v>
      </c>
      <c r="C173" s="2" t="s">
        <v>4</v>
      </c>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30" customHeight="1" x14ac:dyDescent="0.25">
      <c r="A174" s="1" t="s">
        <v>237</v>
      </c>
      <c r="B174" s="1" t="str">
        <f>_xlfn.TEXTJOIN(",  ",TRUE,Table24[[#This Row],[Column 1]:[Column 32]])</f>
        <v>English Only</v>
      </c>
      <c r="C174" s="2" t="s">
        <v>4</v>
      </c>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30" customHeight="1" x14ac:dyDescent="0.25">
      <c r="A175" s="1" t="s">
        <v>290</v>
      </c>
      <c r="B175" s="1" t="str">
        <f>_xlfn.TEXTJOIN(",  ",TRUE,Table24[[#This Row],[Column 1]:[Column 32]])</f>
        <v>English,  Spanish</v>
      </c>
      <c r="C175" s="2" t="s">
        <v>1297</v>
      </c>
      <c r="D175" s="2"/>
      <c r="E175" s="2"/>
      <c r="F175" s="2"/>
      <c r="G175" s="2"/>
      <c r="H175" s="2"/>
      <c r="I175" s="2"/>
      <c r="J175" s="2"/>
      <c r="K175" s="2"/>
      <c r="L175" s="2"/>
      <c r="M175" s="2"/>
      <c r="N175" s="2"/>
      <c r="O175" s="2"/>
      <c r="P175" s="2"/>
      <c r="Q175" s="2"/>
      <c r="R175" s="2"/>
      <c r="S175" s="2"/>
      <c r="T175" s="2"/>
      <c r="U175" s="2"/>
      <c r="V175" s="2"/>
      <c r="W175" s="2"/>
      <c r="X175" s="2"/>
      <c r="Y175" s="2"/>
      <c r="Z175" s="2"/>
      <c r="AA175" s="2"/>
      <c r="AB175" s="2" t="s">
        <v>28</v>
      </c>
      <c r="AC175" s="2"/>
      <c r="AD175" s="2"/>
      <c r="AE175" s="2"/>
      <c r="AF175" s="2"/>
      <c r="AG175" s="2"/>
      <c r="AH175" s="2"/>
    </row>
    <row r="176" spans="1:34" ht="30" customHeight="1" x14ac:dyDescent="0.25">
      <c r="A176" s="1" t="s">
        <v>630</v>
      </c>
      <c r="B176" s="1" t="str">
        <f>_xlfn.TEXTJOIN(",  ",TRUE,Table24[[#This Row],[Column 1]:[Column 32]])</f>
        <v>English,  Spanish</v>
      </c>
      <c r="C176" s="2" t="s">
        <v>1297</v>
      </c>
      <c r="D176" s="2"/>
      <c r="E176" s="2"/>
      <c r="F176" s="2"/>
      <c r="G176" s="2"/>
      <c r="H176" s="2"/>
      <c r="I176" s="2"/>
      <c r="J176" s="2"/>
      <c r="K176" s="2"/>
      <c r="L176" s="2"/>
      <c r="M176" s="2"/>
      <c r="N176" s="2"/>
      <c r="O176" s="2"/>
      <c r="P176" s="2"/>
      <c r="Q176" s="2"/>
      <c r="R176" s="2"/>
      <c r="S176" s="2"/>
      <c r="T176" s="2"/>
      <c r="U176" s="2"/>
      <c r="V176" s="2"/>
      <c r="W176" s="2"/>
      <c r="X176" s="2"/>
      <c r="Y176" s="2"/>
      <c r="Z176" s="2"/>
      <c r="AA176" s="2"/>
      <c r="AB176" s="2" t="s">
        <v>28</v>
      </c>
      <c r="AC176" s="2"/>
      <c r="AD176" s="2"/>
      <c r="AE176" s="2"/>
      <c r="AF176" s="2"/>
      <c r="AG176" s="2"/>
      <c r="AH176" s="2"/>
    </row>
    <row r="177" spans="1:34" ht="30" customHeight="1" x14ac:dyDescent="0.25">
      <c r="A177" s="1" t="s">
        <v>139</v>
      </c>
      <c r="B177" s="1" t="str">
        <f>_xlfn.TEXTJOIN(",  ",TRUE,Table24[[#This Row],[Column 1]:[Column 32]])</f>
        <v>English Only</v>
      </c>
      <c r="C177" s="2" t="s">
        <v>4</v>
      </c>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30" customHeight="1" x14ac:dyDescent="0.25">
      <c r="A178" s="1" t="s">
        <v>886</v>
      </c>
      <c r="B178" s="1" t="str">
        <f>_xlfn.TEXTJOIN(",  ",TRUE,Table24[[#This Row],[Column 1]:[Column 32]])</f>
        <v>English Only</v>
      </c>
      <c r="C178" s="2" t="s">
        <v>4</v>
      </c>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30" customHeight="1" x14ac:dyDescent="0.25">
      <c r="A179" s="1" t="s">
        <v>934</v>
      </c>
      <c r="B179" s="1" t="str">
        <f>_xlfn.TEXTJOIN(",  ",TRUE,Table24[[#This Row],[Column 1]:[Column 32]])</f>
        <v>English,  Spanish</v>
      </c>
      <c r="C179" s="2" t="s">
        <v>1297</v>
      </c>
      <c r="D179" s="2"/>
      <c r="E179" s="2"/>
      <c r="F179" s="2"/>
      <c r="G179" s="2"/>
      <c r="H179" s="2"/>
      <c r="I179" s="2"/>
      <c r="J179" s="2"/>
      <c r="K179" s="2"/>
      <c r="L179" s="2"/>
      <c r="M179" s="2"/>
      <c r="N179" s="2"/>
      <c r="O179" s="2"/>
      <c r="P179" s="2"/>
      <c r="Q179" s="2"/>
      <c r="R179" s="2"/>
      <c r="S179" s="2"/>
      <c r="T179" s="2"/>
      <c r="U179" s="2"/>
      <c r="V179" s="2"/>
      <c r="W179" s="2"/>
      <c r="X179" s="2"/>
      <c r="Y179" s="2"/>
      <c r="Z179" s="2"/>
      <c r="AA179" s="2"/>
      <c r="AB179" s="2" t="s">
        <v>28</v>
      </c>
      <c r="AC179" s="2"/>
      <c r="AD179" s="2"/>
      <c r="AE179" s="2"/>
      <c r="AF179" s="2"/>
      <c r="AG179" s="2"/>
      <c r="AH179" s="2"/>
    </row>
    <row r="180" spans="1:34" ht="30" customHeight="1" x14ac:dyDescent="0.25">
      <c r="A180" s="1" t="s">
        <v>562</v>
      </c>
      <c r="B180" s="1" t="str">
        <f>_xlfn.TEXTJOIN(",  ",TRUE,Table24[[#This Row],[Column 1]:[Column 32]])</f>
        <v>English Only</v>
      </c>
      <c r="C180" s="2" t="s">
        <v>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30" customHeight="1" x14ac:dyDescent="0.25">
      <c r="A181" s="1" t="s">
        <v>933</v>
      </c>
      <c r="B181" s="1" t="str">
        <f>_xlfn.TEXTJOIN(",  ",TRUE,Table24[[#This Row],[Column 1]:[Column 32]])</f>
        <v>English,  Spanish</v>
      </c>
      <c r="C181" s="2" t="s">
        <v>1297</v>
      </c>
      <c r="D181" s="2"/>
      <c r="E181" s="2"/>
      <c r="F181" s="2"/>
      <c r="G181" s="2"/>
      <c r="H181" s="2"/>
      <c r="I181" s="2"/>
      <c r="J181" s="2"/>
      <c r="K181" s="2"/>
      <c r="L181" s="2"/>
      <c r="M181" s="2"/>
      <c r="N181" s="2"/>
      <c r="O181" s="2"/>
      <c r="P181" s="2"/>
      <c r="Q181" s="2"/>
      <c r="R181" s="2"/>
      <c r="S181" s="2"/>
      <c r="T181" s="2"/>
      <c r="U181" s="2"/>
      <c r="V181" s="2"/>
      <c r="W181" s="2"/>
      <c r="X181" s="2"/>
      <c r="Y181" s="2"/>
      <c r="Z181" s="2"/>
      <c r="AA181" s="2"/>
      <c r="AB181" s="2" t="s">
        <v>28</v>
      </c>
      <c r="AC181" s="2"/>
      <c r="AD181" s="2"/>
      <c r="AE181" s="2"/>
      <c r="AF181" s="2"/>
      <c r="AG181" s="2"/>
      <c r="AH181" s="2"/>
    </row>
    <row r="182" spans="1:34" ht="30" customHeight="1" x14ac:dyDescent="0.25">
      <c r="A182" s="1" t="s">
        <v>874</v>
      </c>
      <c r="B182" s="1" t="str">
        <f>_xlfn.TEXTJOIN(",  ",TRUE,Table24[[#This Row],[Column 1]:[Column 32]])</f>
        <v>English Only</v>
      </c>
      <c r="C182" s="2" t="s">
        <v>4</v>
      </c>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30" customHeight="1" x14ac:dyDescent="0.25">
      <c r="A183" s="1" t="s">
        <v>893</v>
      </c>
      <c r="B183" s="1" t="str">
        <f>_xlfn.TEXTJOIN(",  ",TRUE,Table24[[#This Row],[Column 1]:[Column 32]])</f>
        <v>English,  Spanish</v>
      </c>
      <c r="C183" s="2" t="s">
        <v>1297</v>
      </c>
      <c r="D183" s="2"/>
      <c r="E183" s="2"/>
      <c r="F183" s="2"/>
      <c r="G183" s="2"/>
      <c r="H183" s="2"/>
      <c r="I183" s="2"/>
      <c r="J183" s="2"/>
      <c r="K183" s="2"/>
      <c r="L183" s="2"/>
      <c r="M183" s="2"/>
      <c r="N183" s="2"/>
      <c r="O183" s="2"/>
      <c r="P183" s="2"/>
      <c r="Q183" s="2"/>
      <c r="R183" s="2"/>
      <c r="S183" s="2"/>
      <c r="T183" s="2"/>
      <c r="U183" s="2"/>
      <c r="V183" s="2"/>
      <c r="W183" s="2"/>
      <c r="X183" s="2"/>
      <c r="Y183" s="2"/>
      <c r="Z183" s="2"/>
      <c r="AA183" s="2"/>
      <c r="AB183" s="2" t="s">
        <v>28</v>
      </c>
      <c r="AC183" s="2"/>
      <c r="AD183" s="2"/>
      <c r="AE183" s="2"/>
      <c r="AF183" s="2"/>
      <c r="AG183" s="2"/>
      <c r="AH183" s="2"/>
    </row>
    <row r="184" spans="1:34" ht="30" customHeight="1" x14ac:dyDescent="0.25">
      <c r="A184" s="1" t="s">
        <v>491</v>
      </c>
      <c r="B184" s="1" t="str">
        <f>_xlfn.TEXTJOIN(",  ",TRUE,Table24[[#This Row],[Column 1]:[Column 32]])</f>
        <v>English Only</v>
      </c>
      <c r="C184" s="2" t="s">
        <v>4</v>
      </c>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30" customHeight="1" x14ac:dyDescent="0.25">
      <c r="A185" s="1" t="s">
        <v>64</v>
      </c>
      <c r="B185" s="1" t="str">
        <f>_xlfn.TEXTJOIN(",  ",TRUE,Table24[[#This Row],[Column 1]:[Column 32]])</f>
        <v>English Only</v>
      </c>
      <c r="C185" s="2" t="s">
        <v>4</v>
      </c>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30" customHeight="1" x14ac:dyDescent="0.25">
      <c r="A186" s="1" t="s">
        <v>91</v>
      </c>
      <c r="B186" s="1" t="str">
        <f>_xlfn.TEXTJOIN(",  ",TRUE,Table24[[#This Row],[Column 1]:[Column 32]])</f>
        <v>English,  Spanish</v>
      </c>
      <c r="C186" s="2" t="s">
        <v>1297</v>
      </c>
      <c r="D186" s="2"/>
      <c r="E186" s="2"/>
      <c r="F186" s="2"/>
      <c r="G186" s="2"/>
      <c r="H186" s="2"/>
      <c r="I186" s="2"/>
      <c r="J186" s="2"/>
      <c r="K186" s="2"/>
      <c r="L186" s="2"/>
      <c r="M186" s="2"/>
      <c r="N186" s="2"/>
      <c r="O186" s="2"/>
      <c r="P186" s="2"/>
      <c r="Q186" s="2"/>
      <c r="R186" s="2"/>
      <c r="S186" s="2"/>
      <c r="T186" s="2"/>
      <c r="U186" s="2"/>
      <c r="V186" s="2"/>
      <c r="W186" s="2"/>
      <c r="X186" s="2"/>
      <c r="Y186" s="2"/>
      <c r="Z186" s="2"/>
      <c r="AA186" s="2"/>
      <c r="AB186" s="2" t="s">
        <v>28</v>
      </c>
      <c r="AC186" s="2"/>
      <c r="AD186" s="2"/>
      <c r="AE186" s="2"/>
      <c r="AF186" s="2"/>
      <c r="AG186" s="2"/>
      <c r="AH186" s="2"/>
    </row>
    <row r="187" spans="1:34" ht="30" customHeight="1" x14ac:dyDescent="0.25">
      <c r="A187" s="1" t="s">
        <v>922</v>
      </c>
      <c r="B187" s="1" t="str">
        <f>_xlfn.TEXTJOIN(",  ",TRUE,Table24[[#This Row],[Column 1]:[Column 32]])</f>
        <v>English Only</v>
      </c>
      <c r="C187" s="2" t="s">
        <v>4</v>
      </c>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30" customHeight="1" x14ac:dyDescent="0.25">
      <c r="A188" s="1" t="s">
        <v>864</v>
      </c>
      <c r="B188" s="1" t="str">
        <f>_xlfn.TEXTJOIN(",  ",TRUE,Table24[[#This Row],[Column 1]:[Column 32]])</f>
        <v>English Only</v>
      </c>
      <c r="C188" s="2" t="s">
        <v>4</v>
      </c>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30" customHeight="1" x14ac:dyDescent="0.25">
      <c r="A189" s="1" t="s">
        <v>897</v>
      </c>
      <c r="B189" s="1" t="str">
        <f>_xlfn.TEXTJOIN(",  ",TRUE,Table24[[#This Row],[Column 1]:[Column 32]])</f>
        <v>English,  Spanish,  Vietnamese</v>
      </c>
      <c r="C189" s="2" t="s">
        <v>1297</v>
      </c>
      <c r="D189" s="2"/>
      <c r="E189" s="2"/>
      <c r="F189" s="2"/>
      <c r="G189" s="2"/>
      <c r="H189" s="2"/>
      <c r="I189" s="2"/>
      <c r="J189" s="2"/>
      <c r="K189" s="2"/>
      <c r="L189" s="2"/>
      <c r="M189" s="2"/>
      <c r="N189" s="2"/>
      <c r="O189" s="2"/>
      <c r="P189" s="2"/>
      <c r="Q189" s="2"/>
      <c r="R189" s="2"/>
      <c r="S189" s="2"/>
      <c r="T189" s="2"/>
      <c r="U189" s="2"/>
      <c r="V189" s="2"/>
      <c r="W189" s="2"/>
      <c r="X189" s="2"/>
      <c r="Y189" s="2"/>
      <c r="Z189" s="2"/>
      <c r="AA189" s="2"/>
      <c r="AB189" s="2" t="s">
        <v>28</v>
      </c>
      <c r="AC189" s="2"/>
      <c r="AD189" s="2"/>
      <c r="AE189" s="2"/>
      <c r="AF189" s="2"/>
      <c r="AG189" s="2"/>
      <c r="AH189" s="2" t="s">
        <v>33</v>
      </c>
    </row>
    <row r="190" spans="1:34" ht="30" customHeight="1" x14ac:dyDescent="0.25">
      <c r="A190" s="1" t="s">
        <v>454</v>
      </c>
      <c r="B190" s="1" t="str">
        <f>_xlfn.TEXTJOIN(",  ",TRUE,Table24[[#This Row],[Column 1]:[Column 32]])</f>
        <v>English,  Spanish</v>
      </c>
      <c r="C190" s="2" t="s">
        <v>1297</v>
      </c>
      <c r="D190" s="2"/>
      <c r="E190" s="2"/>
      <c r="F190" s="2"/>
      <c r="G190" s="2"/>
      <c r="H190" s="2"/>
      <c r="I190" s="2"/>
      <c r="J190" s="2"/>
      <c r="K190" s="2"/>
      <c r="L190" s="2"/>
      <c r="M190" s="2"/>
      <c r="N190" s="2"/>
      <c r="O190" s="2"/>
      <c r="P190" s="2"/>
      <c r="Q190" s="2"/>
      <c r="R190" s="2"/>
      <c r="S190" s="2"/>
      <c r="T190" s="2"/>
      <c r="U190" s="2"/>
      <c r="V190" s="2"/>
      <c r="W190" s="2"/>
      <c r="X190" s="2"/>
      <c r="Y190" s="2"/>
      <c r="Z190" s="2"/>
      <c r="AA190" s="2"/>
      <c r="AB190" s="2" t="s">
        <v>28</v>
      </c>
      <c r="AC190" s="2"/>
      <c r="AD190" s="2"/>
      <c r="AE190" s="2"/>
      <c r="AF190" s="2"/>
      <c r="AG190" s="2"/>
      <c r="AH190" s="2"/>
    </row>
    <row r="191" spans="1:34" ht="30" customHeight="1" x14ac:dyDescent="0.25">
      <c r="A191" s="1" t="s">
        <v>905</v>
      </c>
      <c r="B191" s="1" t="str">
        <f>_xlfn.TEXTJOIN(",  ",TRUE,Table24[[#This Row],[Column 1]:[Column 32]])</f>
        <v>English,  Mandarin,  Spanish</v>
      </c>
      <c r="C191" s="2" t="s">
        <v>1297</v>
      </c>
      <c r="D191" s="2"/>
      <c r="E191" s="2"/>
      <c r="F191" s="2"/>
      <c r="G191" s="2"/>
      <c r="H191" s="2"/>
      <c r="I191" s="2"/>
      <c r="J191" s="2"/>
      <c r="K191" s="2"/>
      <c r="L191" s="2"/>
      <c r="M191" s="2"/>
      <c r="N191" s="2"/>
      <c r="O191" s="2"/>
      <c r="P191" s="2"/>
      <c r="Q191" s="2"/>
      <c r="R191" s="2"/>
      <c r="S191" s="2"/>
      <c r="T191" s="2"/>
      <c r="U191" s="2"/>
      <c r="V191" s="2" t="s">
        <v>23</v>
      </c>
      <c r="W191" s="2"/>
      <c r="X191" s="2"/>
      <c r="Y191" s="2"/>
      <c r="Z191" s="2"/>
      <c r="AA191" s="2"/>
      <c r="AB191" s="2" t="s">
        <v>28</v>
      </c>
      <c r="AC191" s="2"/>
      <c r="AD191" s="2"/>
      <c r="AE191" s="2"/>
      <c r="AF191" s="2"/>
      <c r="AG191" s="2"/>
      <c r="AH191" s="2"/>
    </row>
    <row r="192" spans="1:34" ht="30" customHeight="1" x14ac:dyDescent="0.25">
      <c r="A192" s="1" t="s">
        <v>953</v>
      </c>
      <c r="B192" s="1" t="str">
        <f>_xlfn.TEXTJOIN(",  ",TRUE,Table24[[#This Row],[Column 1]:[Column 32]])</f>
        <v>English Only</v>
      </c>
      <c r="C192" s="2" t="s">
        <v>4</v>
      </c>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30" customHeight="1" x14ac:dyDescent="0.25">
      <c r="A193" s="1" t="s">
        <v>106</v>
      </c>
      <c r="B193" s="1" t="str">
        <f>_xlfn.TEXTJOIN(",  ",TRUE,Table24[[#This Row],[Column 1]:[Column 32]])</f>
        <v>English,  Armenian,  Spanish</v>
      </c>
      <c r="C193" s="2" t="s">
        <v>1297</v>
      </c>
      <c r="D193" s="2"/>
      <c r="E193" s="2"/>
      <c r="F193" s="2"/>
      <c r="G193" s="2"/>
      <c r="H193" s="2" t="s">
        <v>9</v>
      </c>
      <c r="I193" s="2"/>
      <c r="J193" s="2"/>
      <c r="K193" s="2"/>
      <c r="L193" s="2"/>
      <c r="M193" s="2"/>
      <c r="N193" s="2"/>
      <c r="O193" s="2"/>
      <c r="P193" s="2"/>
      <c r="Q193" s="2"/>
      <c r="R193" s="2"/>
      <c r="S193" s="2"/>
      <c r="T193" s="2"/>
      <c r="U193" s="2"/>
      <c r="V193" s="2"/>
      <c r="W193" s="2"/>
      <c r="X193" s="2"/>
      <c r="Y193" s="2"/>
      <c r="Z193" s="2"/>
      <c r="AA193" s="2"/>
      <c r="AB193" s="2" t="s">
        <v>28</v>
      </c>
      <c r="AC193" s="2"/>
      <c r="AD193" s="2"/>
      <c r="AE193" s="2"/>
      <c r="AF193" s="2"/>
      <c r="AG193" s="2"/>
      <c r="AH193" s="2"/>
    </row>
    <row r="194" spans="1:34" ht="30" customHeight="1" x14ac:dyDescent="0.25">
      <c r="A194" s="1" t="s">
        <v>501</v>
      </c>
      <c r="B194" s="1" t="str">
        <f>_xlfn.TEXTJOIN(",  ",TRUE,Table24[[#This Row],[Column 1]:[Column 32]])</f>
        <v>English,  Spanish</v>
      </c>
      <c r="C194" s="2" t="s">
        <v>1297</v>
      </c>
      <c r="D194" s="2"/>
      <c r="E194" s="2"/>
      <c r="F194" s="2"/>
      <c r="G194" s="2"/>
      <c r="H194" s="2"/>
      <c r="I194" s="2"/>
      <c r="J194" s="2"/>
      <c r="K194" s="2"/>
      <c r="L194" s="2"/>
      <c r="M194" s="2"/>
      <c r="N194" s="2"/>
      <c r="O194" s="2"/>
      <c r="P194" s="2"/>
      <c r="Q194" s="2"/>
      <c r="R194" s="2"/>
      <c r="S194" s="2"/>
      <c r="T194" s="2"/>
      <c r="U194" s="2"/>
      <c r="V194" s="2"/>
      <c r="W194" s="2"/>
      <c r="X194" s="2"/>
      <c r="Y194" s="2"/>
      <c r="Z194" s="2"/>
      <c r="AA194" s="2"/>
      <c r="AB194" s="2" t="s">
        <v>28</v>
      </c>
      <c r="AC194" s="2"/>
      <c r="AD194" s="2"/>
      <c r="AE194" s="2"/>
      <c r="AF194" s="2"/>
      <c r="AG194" s="2"/>
      <c r="AH194" s="2"/>
    </row>
    <row r="195" spans="1:34" ht="30" customHeight="1" x14ac:dyDescent="0.25">
      <c r="A195" s="1" t="s">
        <v>891</v>
      </c>
      <c r="B195" s="1" t="str">
        <f>_xlfn.TEXTJOIN(",  ",TRUE,Table24[[#This Row],[Column 1]:[Column 32]])</f>
        <v>English Only</v>
      </c>
      <c r="C195" s="2" t="s">
        <v>4</v>
      </c>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30" customHeight="1" x14ac:dyDescent="0.25">
      <c r="A196" s="1" t="s">
        <v>96</v>
      </c>
      <c r="B196" s="1" t="str">
        <f>_xlfn.TEXTJOIN(",  ",TRUE,Table24[[#This Row],[Column 1]:[Column 32]])</f>
        <v>English Only</v>
      </c>
      <c r="C196" s="2" t="s">
        <v>4</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30" customHeight="1" x14ac:dyDescent="0.25">
      <c r="A197" s="1" t="s">
        <v>861</v>
      </c>
      <c r="B197" s="1" t="str">
        <f>_xlfn.TEXTJOIN(",  ",TRUE,Table24[[#This Row],[Column 1]:[Column 32]])</f>
        <v>English,  Hindi</v>
      </c>
      <c r="C197" s="2" t="s">
        <v>1297</v>
      </c>
      <c r="D197" s="2"/>
      <c r="E197" s="2"/>
      <c r="F197" s="2"/>
      <c r="G197" s="2"/>
      <c r="H197" s="2"/>
      <c r="I197" s="2"/>
      <c r="J197" s="2"/>
      <c r="K197" s="2"/>
      <c r="L197" s="2"/>
      <c r="M197" s="2"/>
      <c r="N197" s="2"/>
      <c r="O197" s="2"/>
      <c r="P197" s="2"/>
      <c r="Q197" s="2" t="s">
        <v>18</v>
      </c>
      <c r="R197" s="2"/>
      <c r="S197" s="2"/>
      <c r="T197" s="2"/>
      <c r="U197" s="2"/>
      <c r="V197" s="2"/>
      <c r="W197" s="2"/>
      <c r="X197" s="2"/>
      <c r="Y197" s="2"/>
      <c r="Z197" s="2"/>
      <c r="AA197" s="2"/>
      <c r="AB197" s="2"/>
      <c r="AC197" s="2"/>
      <c r="AD197" s="2"/>
      <c r="AE197" s="2"/>
      <c r="AF197" s="2"/>
      <c r="AG197" s="2"/>
      <c r="AH197" s="2"/>
    </row>
    <row r="198" spans="1:34" ht="30" customHeight="1" x14ac:dyDescent="0.25">
      <c r="A198" s="1" t="s">
        <v>244</v>
      </c>
      <c r="B198" s="1" t="str">
        <f>_xlfn.TEXTJOIN(",  ",TRUE,Table24[[#This Row],[Column 1]:[Column 32]])</f>
        <v>English,  Spanish</v>
      </c>
      <c r="C198" s="2" t="s">
        <v>1297</v>
      </c>
      <c r="D198" s="2"/>
      <c r="E198" s="2"/>
      <c r="F198" s="2"/>
      <c r="G198" s="2"/>
      <c r="H198" s="2"/>
      <c r="I198" s="2"/>
      <c r="J198" s="2"/>
      <c r="K198" s="2"/>
      <c r="L198" s="2"/>
      <c r="M198" s="2"/>
      <c r="N198" s="2"/>
      <c r="O198" s="2"/>
      <c r="P198" s="2"/>
      <c r="Q198" s="2"/>
      <c r="R198" s="2"/>
      <c r="S198" s="2"/>
      <c r="T198" s="2"/>
      <c r="U198" s="2"/>
      <c r="V198" s="2"/>
      <c r="W198" s="2"/>
      <c r="X198" s="2"/>
      <c r="Y198" s="2"/>
      <c r="Z198" s="2"/>
      <c r="AA198" s="2"/>
      <c r="AB198" s="2" t="s">
        <v>28</v>
      </c>
      <c r="AC198" s="2"/>
      <c r="AD198" s="2"/>
      <c r="AE198" s="2"/>
      <c r="AF198" s="2"/>
      <c r="AG198" s="2"/>
      <c r="AH198" s="2"/>
    </row>
    <row r="199" spans="1:34" ht="30" customHeight="1" x14ac:dyDescent="0.25">
      <c r="A199" s="1" t="s">
        <v>318</v>
      </c>
      <c r="B199" s="1" t="str">
        <f>_xlfn.TEXTJOIN(",  ",TRUE,Table24[[#This Row],[Column 1]:[Column 32]])</f>
        <v>English,  Spanish</v>
      </c>
      <c r="C199" s="2" t="s">
        <v>1297</v>
      </c>
      <c r="D199" s="2"/>
      <c r="E199" s="2"/>
      <c r="F199" s="2"/>
      <c r="G199" s="2"/>
      <c r="H199" s="2"/>
      <c r="I199" s="2"/>
      <c r="J199" s="2"/>
      <c r="K199" s="2"/>
      <c r="L199" s="2"/>
      <c r="M199" s="2"/>
      <c r="N199" s="2"/>
      <c r="O199" s="2"/>
      <c r="P199" s="2"/>
      <c r="Q199" s="2"/>
      <c r="R199" s="2"/>
      <c r="S199" s="2"/>
      <c r="T199" s="2"/>
      <c r="U199" s="2"/>
      <c r="V199" s="2"/>
      <c r="W199" s="2"/>
      <c r="X199" s="2"/>
      <c r="Y199" s="2"/>
      <c r="Z199" s="2"/>
      <c r="AA199" s="2"/>
      <c r="AB199" s="2" t="s">
        <v>28</v>
      </c>
      <c r="AC199" s="2"/>
      <c r="AD199" s="2"/>
      <c r="AE199" s="2"/>
      <c r="AF199" s="2"/>
      <c r="AG199" s="2"/>
      <c r="AH199" s="2"/>
    </row>
    <row r="200" spans="1:34" ht="30" customHeight="1" x14ac:dyDescent="0.25">
      <c r="A200" s="1" t="s">
        <v>862</v>
      </c>
      <c r="B200" s="1" t="str">
        <f>_xlfn.TEXTJOIN(",  ",TRUE,Table24[[#This Row],[Column 1]:[Column 32]])</f>
        <v>English,  Spanish</v>
      </c>
      <c r="C200" s="2" t="s">
        <v>1297</v>
      </c>
      <c r="D200" s="2"/>
      <c r="E200" s="2"/>
      <c r="F200" s="2"/>
      <c r="G200" s="2"/>
      <c r="H200" s="2"/>
      <c r="I200" s="2"/>
      <c r="J200" s="2"/>
      <c r="K200" s="2"/>
      <c r="L200" s="2"/>
      <c r="M200" s="2"/>
      <c r="N200" s="2"/>
      <c r="O200" s="2"/>
      <c r="P200" s="2"/>
      <c r="Q200" s="2"/>
      <c r="R200" s="2"/>
      <c r="S200" s="2"/>
      <c r="T200" s="2"/>
      <c r="U200" s="2"/>
      <c r="V200" s="2"/>
      <c r="W200" s="2"/>
      <c r="X200" s="2"/>
      <c r="Y200" s="2"/>
      <c r="Z200" s="2"/>
      <c r="AA200" s="2"/>
      <c r="AB200" s="2" t="s">
        <v>28</v>
      </c>
      <c r="AC200" s="2"/>
      <c r="AD200" s="2"/>
      <c r="AE200" s="2"/>
      <c r="AF200" s="2"/>
      <c r="AG200" s="2"/>
      <c r="AH200" s="2"/>
    </row>
    <row r="201" spans="1:34" ht="30" customHeight="1" x14ac:dyDescent="0.25">
      <c r="A201" s="1" t="s">
        <v>476</v>
      </c>
      <c r="B201" s="1" t="str">
        <f>_xlfn.TEXTJOIN(",  ",TRUE,Table24[[#This Row],[Column 1]:[Column 32]])</f>
        <v>English Only</v>
      </c>
      <c r="C201" s="2" t="s">
        <v>4</v>
      </c>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30" customHeight="1" x14ac:dyDescent="0.25">
      <c r="A202" s="1" t="s">
        <v>160</v>
      </c>
      <c r="B202" s="1" t="str">
        <f>_xlfn.TEXTJOIN(",  ",TRUE,Table24[[#This Row],[Column 1]:[Column 32]])</f>
        <v>English Only</v>
      </c>
      <c r="C202" s="2" t="s">
        <v>4</v>
      </c>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30" customHeight="1" x14ac:dyDescent="0.25">
      <c r="A203" s="1" t="s">
        <v>420</v>
      </c>
      <c r="B203" s="1" t="str">
        <f>_xlfn.TEXTJOIN(",  ",TRUE,Table24[[#This Row],[Column 1]:[Column 32]])</f>
        <v>English Only</v>
      </c>
      <c r="C203" s="2" t="s">
        <v>4</v>
      </c>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30" customHeight="1" x14ac:dyDescent="0.25">
      <c r="A204" s="1" t="s">
        <v>227</v>
      </c>
      <c r="B204" s="1" t="str">
        <f>_xlfn.TEXTJOIN(",  ",TRUE,Table24[[#This Row],[Column 1]:[Column 32]])</f>
        <v>English Only</v>
      </c>
      <c r="C204" s="2" t="s">
        <v>4</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30" customHeight="1" x14ac:dyDescent="0.25">
      <c r="A205" s="1" t="s">
        <v>950</v>
      </c>
      <c r="B205" s="1" t="str">
        <f>_xlfn.TEXTJOIN(",  ",TRUE,Table24[[#This Row],[Column 1]:[Column 32]])</f>
        <v>English Only</v>
      </c>
      <c r="C205" s="2" t="s">
        <v>4</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30" customHeight="1" x14ac:dyDescent="0.25">
      <c r="A206" s="1" t="s">
        <v>1293</v>
      </c>
      <c r="B206" s="1" t="str">
        <f>_xlfn.TEXTJOIN(",  ",TRUE,Table24[[#This Row],[Column 1]:[Column 32]])</f>
        <v>English Only</v>
      </c>
      <c r="C206" s="2" t="s">
        <v>4</v>
      </c>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30" customHeight="1" x14ac:dyDescent="0.25">
      <c r="A207" s="1" t="s">
        <v>894</v>
      </c>
      <c r="B207" s="1" t="str">
        <f>_xlfn.TEXTJOIN(",  ",TRUE,Table24[[#This Row],[Column 1]:[Column 32]])</f>
        <v>English Only</v>
      </c>
      <c r="C207" s="2" t="s">
        <v>4</v>
      </c>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30" customHeight="1" x14ac:dyDescent="0.25">
      <c r="A208" s="1" t="s">
        <v>582</v>
      </c>
      <c r="B208" s="1" t="str">
        <f>_xlfn.TEXTJOIN(",  ",TRUE,Table24[[#This Row],[Column 1]:[Column 32]])</f>
        <v>English Only</v>
      </c>
      <c r="C208" s="2" t="s">
        <v>4</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30" customHeight="1" x14ac:dyDescent="0.25">
      <c r="A209" s="1" t="s">
        <v>333</v>
      </c>
      <c r="B209" s="1" t="str">
        <f>_xlfn.TEXTJOIN(",  ",TRUE,Table24[[#This Row],[Column 1]:[Column 32]])</f>
        <v>English,  Spanish</v>
      </c>
      <c r="C209" s="2" t="s">
        <v>1297</v>
      </c>
      <c r="D209" s="2"/>
      <c r="E209" s="2"/>
      <c r="F209" s="2"/>
      <c r="G209" s="2"/>
      <c r="H209" s="2"/>
      <c r="I209" s="2"/>
      <c r="J209" s="2"/>
      <c r="K209" s="2"/>
      <c r="L209" s="2"/>
      <c r="M209" s="2"/>
      <c r="N209" s="2"/>
      <c r="O209" s="2"/>
      <c r="P209" s="2"/>
      <c r="Q209" s="2"/>
      <c r="R209" s="2"/>
      <c r="S209" s="2"/>
      <c r="T209" s="2"/>
      <c r="U209" s="2"/>
      <c r="V209" s="2"/>
      <c r="W209" s="2"/>
      <c r="X209" s="2"/>
      <c r="Y209" s="2"/>
      <c r="Z209" s="2"/>
      <c r="AA209" s="2"/>
      <c r="AB209" s="2" t="s">
        <v>28</v>
      </c>
      <c r="AC209" s="2"/>
      <c r="AD209" s="2"/>
      <c r="AE209" s="2"/>
      <c r="AF209" s="2"/>
      <c r="AG209" s="2"/>
      <c r="AH209" s="2"/>
    </row>
    <row r="210" spans="1:34" ht="30" customHeight="1" x14ac:dyDescent="0.25">
      <c r="A210" s="1" t="s">
        <v>129</v>
      </c>
      <c r="B210" s="1" t="str">
        <f>_xlfn.TEXTJOIN(",  ",TRUE,Table24[[#This Row],[Column 1]:[Column 32]])</f>
        <v>English,  Spanish</v>
      </c>
      <c r="C210" s="2" t="s">
        <v>1297</v>
      </c>
      <c r="D210" s="2"/>
      <c r="E210" s="2"/>
      <c r="F210" s="2"/>
      <c r="G210" s="2"/>
      <c r="H210" s="2"/>
      <c r="I210" s="2"/>
      <c r="J210" s="2"/>
      <c r="K210" s="2"/>
      <c r="L210" s="2"/>
      <c r="M210" s="2"/>
      <c r="N210" s="2"/>
      <c r="O210" s="2"/>
      <c r="P210" s="2"/>
      <c r="Q210" s="2"/>
      <c r="R210" s="2"/>
      <c r="S210" s="2"/>
      <c r="T210" s="2"/>
      <c r="U210" s="2"/>
      <c r="V210" s="2"/>
      <c r="W210" s="2"/>
      <c r="X210" s="2"/>
      <c r="Y210" s="2"/>
      <c r="Z210" s="2"/>
      <c r="AA210" s="2"/>
      <c r="AB210" s="2" t="s">
        <v>28</v>
      </c>
      <c r="AC210" s="2"/>
      <c r="AD210" s="2"/>
      <c r="AE210" s="2"/>
      <c r="AF210" s="2"/>
      <c r="AG210" s="2"/>
      <c r="AH210" s="2"/>
    </row>
    <row r="211" spans="1:34" ht="30" customHeight="1" x14ac:dyDescent="0.25">
      <c r="A211" s="1" t="s">
        <v>102</v>
      </c>
      <c r="B211" s="1" t="str">
        <f>_xlfn.TEXTJOIN(",  ",TRUE,Table24[[#This Row],[Column 1]:[Column 32]])</f>
        <v>English Only</v>
      </c>
      <c r="C211" s="2" t="s">
        <v>4</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30" customHeight="1" x14ac:dyDescent="0.25">
      <c r="A212" s="1" t="s">
        <v>901</v>
      </c>
      <c r="B212" s="1" t="str">
        <f>_xlfn.TEXTJOIN(",  ",TRUE,Table24[[#This Row],[Column 1]:[Column 32]])</f>
        <v>English Only</v>
      </c>
      <c r="C212" s="2" t="s">
        <v>4</v>
      </c>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30" customHeight="1" x14ac:dyDescent="0.25">
      <c r="A213" s="1" t="s">
        <v>337</v>
      </c>
      <c r="B213" s="1" t="str">
        <f>_xlfn.TEXTJOIN(",  ",TRUE,Table24[[#This Row],[Column 1]:[Column 32]])</f>
        <v>English,  French,  Spanish,  Ukrainian</v>
      </c>
      <c r="C213" s="2" t="s">
        <v>1297</v>
      </c>
      <c r="D213" s="2"/>
      <c r="E213" s="2"/>
      <c r="F213" s="2"/>
      <c r="G213" s="2"/>
      <c r="H213" s="2"/>
      <c r="I213" s="2"/>
      <c r="J213" s="2"/>
      <c r="K213" s="2"/>
      <c r="L213" s="2"/>
      <c r="M213" s="2"/>
      <c r="N213" s="2"/>
      <c r="O213" s="2" t="s">
        <v>16</v>
      </c>
      <c r="P213" s="2"/>
      <c r="Q213" s="2"/>
      <c r="R213" s="2"/>
      <c r="S213" s="2"/>
      <c r="T213" s="2"/>
      <c r="U213" s="2"/>
      <c r="V213" s="2"/>
      <c r="W213" s="2"/>
      <c r="X213" s="2"/>
      <c r="Y213" s="2"/>
      <c r="Z213" s="2"/>
      <c r="AA213" s="2"/>
      <c r="AB213" s="2" t="s">
        <v>28</v>
      </c>
      <c r="AC213" s="2"/>
      <c r="AD213" s="2"/>
      <c r="AE213" s="2"/>
      <c r="AF213" s="2" t="s">
        <v>31</v>
      </c>
      <c r="AG213" s="2"/>
      <c r="AH213" s="2"/>
    </row>
    <row r="214" spans="1:34" ht="30" customHeight="1" x14ac:dyDescent="0.25">
      <c r="A214" s="1" t="s">
        <v>925</v>
      </c>
      <c r="B214" s="1" t="str">
        <f>_xlfn.TEXTJOIN(",  ",TRUE,Table24[[#This Row],[Column 1]:[Column 32]])</f>
        <v>English Only</v>
      </c>
      <c r="C214" s="2" t="s">
        <v>4</v>
      </c>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30" customHeight="1" x14ac:dyDescent="0.25">
      <c r="A215" s="1" t="s">
        <v>297</v>
      </c>
      <c r="B215" s="1" t="str">
        <f>_xlfn.TEXTJOIN(",  ",TRUE,Table24[[#This Row],[Column 1]:[Column 32]])</f>
        <v>English Only</v>
      </c>
      <c r="C215" s="2" t="s">
        <v>4</v>
      </c>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30" customHeight="1" x14ac:dyDescent="0.25">
      <c r="A216" s="1" t="s">
        <v>919</v>
      </c>
      <c r="B216" s="1" t="str">
        <f>_xlfn.TEXTJOIN(",  ",TRUE,Table24[[#This Row],[Column 1]:[Column 32]])</f>
        <v>English,  Armenian,  Spanish</v>
      </c>
      <c r="C216" s="2" t="s">
        <v>1297</v>
      </c>
      <c r="D216" s="2"/>
      <c r="E216" s="2"/>
      <c r="F216" s="2"/>
      <c r="G216" s="2"/>
      <c r="H216" s="2" t="s">
        <v>9</v>
      </c>
      <c r="I216" s="2"/>
      <c r="J216" s="2"/>
      <c r="K216" s="2"/>
      <c r="L216" s="2"/>
      <c r="M216" s="2"/>
      <c r="N216" s="2"/>
      <c r="O216" s="2"/>
      <c r="P216" s="2"/>
      <c r="Q216" s="2"/>
      <c r="R216" s="2"/>
      <c r="S216" s="2"/>
      <c r="T216" s="2"/>
      <c r="U216" s="2"/>
      <c r="V216" s="2"/>
      <c r="W216" s="2"/>
      <c r="X216" s="2"/>
      <c r="Y216" s="2"/>
      <c r="Z216" s="2"/>
      <c r="AA216" s="2"/>
      <c r="AB216" s="2" t="s">
        <v>28</v>
      </c>
      <c r="AC216" s="2"/>
      <c r="AD216" s="2"/>
      <c r="AE216" s="2"/>
      <c r="AF216" s="2"/>
      <c r="AG216" s="2"/>
      <c r="AH216" s="2"/>
    </row>
    <row r="217" spans="1:34" ht="30" customHeight="1" x14ac:dyDescent="0.25">
      <c r="A217" s="1" t="s">
        <v>1055</v>
      </c>
      <c r="B217" s="1" t="str">
        <f>_xlfn.TEXTJOIN(",  ",TRUE,Table24[[#This Row],[Column 1]:[Column 32]])</f>
        <v>English Only</v>
      </c>
      <c r="C217" s="2" t="s">
        <v>4</v>
      </c>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30" customHeight="1" x14ac:dyDescent="0.25">
      <c r="A218" s="1" t="s">
        <v>77</v>
      </c>
      <c r="B218" s="1" t="str">
        <f>_xlfn.TEXTJOIN(",  ",TRUE,Table24[[#This Row],[Column 1]:[Column 32]])</f>
        <v>English,  Japanese,  Vietnamese</v>
      </c>
      <c r="C218" s="2" t="s">
        <v>1297</v>
      </c>
      <c r="D218" s="2"/>
      <c r="E218" s="2"/>
      <c r="F218" s="2"/>
      <c r="G218" s="2"/>
      <c r="H218" s="2"/>
      <c r="I218" s="2"/>
      <c r="J218" s="2"/>
      <c r="K218" s="2"/>
      <c r="L218" s="2"/>
      <c r="M218" s="2"/>
      <c r="N218" s="2"/>
      <c r="O218" s="2"/>
      <c r="P218" s="2"/>
      <c r="Q218" s="2"/>
      <c r="R218" s="2"/>
      <c r="S218" s="2" t="s">
        <v>20</v>
      </c>
      <c r="T218" s="2"/>
      <c r="U218" s="2"/>
      <c r="V218" s="2"/>
      <c r="W218" s="2"/>
      <c r="X218" s="2"/>
      <c r="Y218" s="2"/>
      <c r="Z218" s="2"/>
      <c r="AA218" s="2"/>
      <c r="AB218" s="2"/>
      <c r="AC218" s="2"/>
      <c r="AD218" s="2"/>
      <c r="AE218" s="2"/>
      <c r="AF218" s="2"/>
      <c r="AG218" s="2"/>
      <c r="AH218" s="2" t="s">
        <v>33</v>
      </c>
    </row>
    <row r="219" spans="1:34" ht="30" customHeight="1" x14ac:dyDescent="0.25">
      <c r="A219" s="1" t="s">
        <v>444</v>
      </c>
      <c r="B219" s="1" t="str">
        <f>_xlfn.TEXTJOIN(",  ",TRUE,Table24[[#This Row],[Column 1]:[Column 32]])</f>
        <v>English Only</v>
      </c>
      <c r="C219" s="2" t="s">
        <v>4</v>
      </c>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30" customHeight="1" x14ac:dyDescent="0.25">
      <c r="A220" s="1" t="s">
        <v>887</v>
      </c>
      <c r="B220" s="1" t="str">
        <f>_xlfn.TEXTJOIN(",  ",TRUE,Table24[[#This Row],[Column 1]:[Column 32]])</f>
        <v>English Only</v>
      </c>
      <c r="C220" s="2" t="s">
        <v>4</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30" customHeight="1" x14ac:dyDescent="0.25">
      <c r="A221" s="1" t="s">
        <v>572</v>
      </c>
      <c r="B221" s="1" t="str">
        <f>_xlfn.TEXTJOIN(",  ",TRUE,Table24[[#This Row],[Column 1]:[Column 32]])</f>
        <v>English Only</v>
      </c>
      <c r="C221" s="2" t="s">
        <v>4</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30" customHeight="1" x14ac:dyDescent="0.25">
      <c r="A222" s="1" t="s">
        <v>523</v>
      </c>
      <c r="B222" s="1" t="str">
        <f>_xlfn.TEXTJOIN(",  ",TRUE,Table24[[#This Row],[Column 1]:[Column 32]])</f>
        <v>English,  Spanish</v>
      </c>
      <c r="C222" s="2" t="s">
        <v>1297</v>
      </c>
      <c r="D222" s="2"/>
      <c r="E222" s="2"/>
      <c r="F222" s="2"/>
      <c r="G222" s="2"/>
      <c r="H222" s="2"/>
      <c r="I222" s="2"/>
      <c r="J222" s="2"/>
      <c r="K222" s="2"/>
      <c r="L222" s="2"/>
      <c r="M222" s="2"/>
      <c r="N222" s="2"/>
      <c r="O222" s="2"/>
      <c r="P222" s="2"/>
      <c r="Q222" s="2"/>
      <c r="R222" s="2"/>
      <c r="S222" s="2"/>
      <c r="T222" s="2"/>
      <c r="U222" s="2"/>
      <c r="V222" s="2"/>
      <c r="W222" s="2"/>
      <c r="X222" s="2"/>
      <c r="Y222" s="2"/>
      <c r="Z222" s="2"/>
      <c r="AA222" s="2"/>
      <c r="AB222" s="2" t="s">
        <v>28</v>
      </c>
      <c r="AC222" s="2"/>
      <c r="AD222" s="2"/>
      <c r="AE222" s="2"/>
      <c r="AF222" s="2"/>
      <c r="AG222" s="2"/>
      <c r="AH222" s="2"/>
    </row>
    <row r="223" spans="1:34" ht="30" customHeight="1" x14ac:dyDescent="0.25">
      <c r="A223" s="1" t="s">
        <v>56</v>
      </c>
      <c r="B223" s="1" t="str">
        <f>_xlfn.TEXTJOIN(",  ",TRUE,Table24[[#This Row],[Column 1]:[Column 32]])</f>
        <v>English Only</v>
      </c>
      <c r="C223" s="2" t="s">
        <v>4</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30" customHeight="1" x14ac:dyDescent="0.25">
      <c r="A224" s="1" t="s">
        <v>1303</v>
      </c>
      <c r="B224" s="1" t="str">
        <f>_xlfn.TEXTJOIN(",  ",TRUE,Table24[[#This Row],[Column 1]:[Column 32]])</f>
        <v>English,  Spanish</v>
      </c>
      <c r="C224" s="2" t="s">
        <v>1297</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t="s">
        <v>28</v>
      </c>
      <c r="AC224" s="2"/>
      <c r="AD224" s="2"/>
      <c r="AE224" s="2"/>
      <c r="AF224" s="2"/>
      <c r="AG224" s="2"/>
      <c r="AH224" s="2"/>
    </row>
    <row r="225" spans="1:34" ht="30" customHeight="1" x14ac:dyDescent="0.25">
      <c r="A225" s="1" t="s">
        <v>1302</v>
      </c>
      <c r="B225" s="1" t="str">
        <f>_xlfn.TEXTJOIN(",  ",TRUE,Table24[[#This Row],[Column 1]:[Column 32]])</f>
        <v>English</v>
      </c>
      <c r="C225" s="2" t="s">
        <v>1297</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30" customHeight="1" x14ac:dyDescent="0.25">
      <c r="A226" s="1" t="s">
        <v>195</v>
      </c>
      <c r="B226" s="1" t="str">
        <f>_xlfn.TEXTJOIN(",  ",TRUE,Table24[[#This Row],[Column 1]:[Column 32]])</f>
        <v>English,  Cantonese,  French,  Hindi,  Mandarin,  Russian,  Spanish,  Tagalog</v>
      </c>
      <c r="C226" s="2" t="s">
        <v>1297</v>
      </c>
      <c r="D226" s="2"/>
      <c r="E226" s="2"/>
      <c r="F226" s="2"/>
      <c r="G226" s="2"/>
      <c r="H226" s="2"/>
      <c r="I226" s="2"/>
      <c r="J226" s="2"/>
      <c r="K226" s="2" t="s">
        <v>12</v>
      </c>
      <c r="L226" s="2"/>
      <c r="M226" s="2"/>
      <c r="N226" s="2"/>
      <c r="O226" s="2" t="s">
        <v>16</v>
      </c>
      <c r="P226" s="2"/>
      <c r="Q226" s="2" t="s">
        <v>18</v>
      </c>
      <c r="R226" s="2"/>
      <c r="S226" s="2"/>
      <c r="T226" s="2"/>
      <c r="U226" s="2"/>
      <c r="V226" s="2" t="s">
        <v>23</v>
      </c>
      <c r="W226" s="2"/>
      <c r="X226" s="2"/>
      <c r="Y226" s="2"/>
      <c r="Z226" s="2" t="s">
        <v>26</v>
      </c>
      <c r="AA226" s="2"/>
      <c r="AB226" s="2" t="s">
        <v>28</v>
      </c>
      <c r="AC226" s="2"/>
      <c r="AD226" s="2" t="s">
        <v>30</v>
      </c>
      <c r="AE226" s="2"/>
      <c r="AF226" s="2"/>
      <c r="AG226" s="2"/>
      <c r="AH226" s="2"/>
    </row>
    <row r="227" spans="1:34" ht="30" customHeight="1" x14ac:dyDescent="0.25">
      <c r="A227" s="1" t="s">
        <v>1234</v>
      </c>
      <c r="B227" s="1" t="str">
        <f>_xlfn.TEXTJOIN(",  ",TRUE,Table24[[#This Row],[Column 1]:[Column 32]])</f>
        <v>English</v>
      </c>
      <c r="C227" s="2" t="s">
        <v>1297</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30" customHeight="1" x14ac:dyDescent="0.25">
      <c r="A228" s="1" t="s">
        <v>183</v>
      </c>
      <c r="B228" s="1" t="str">
        <f>_xlfn.TEXTJOIN(",  ",TRUE,Table24[[#This Row],[Column 1]:[Column 32]])</f>
        <v>English,  Spanish</v>
      </c>
      <c r="C228" s="2" t="s">
        <v>1297</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t="s">
        <v>28</v>
      </c>
      <c r="AC228" s="2"/>
      <c r="AD228" s="2"/>
      <c r="AE228" s="2"/>
      <c r="AF228" s="2"/>
      <c r="AG228" s="2"/>
      <c r="AH228" s="2"/>
    </row>
    <row r="229" spans="1:34" ht="30" customHeight="1" x14ac:dyDescent="0.25">
      <c r="A229" s="1" t="s">
        <v>370</v>
      </c>
      <c r="B229" s="1" t="str">
        <f>_xlfn.TEXTJOIN(",  ",TRUE,Table24[[#This Row],[Column 1]:[Column 32]])</f>
        <v>English Only</v>
      </c>
      <c r="C229" s="2" t="s">
        <v>4</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30" customHeight="1" x14ac:dyDescent="0.25">
      <c r="A230" s="1" t="s">
        <v>913</v>
      </c>
      <c r="B230" s="1" t="str">
        <f>_xlfn.TEXTJOIN(",  ",TRUE,Table24[[#This Row],[Column 1]:[Column 32]])</f>
        <v>English Only</v>
      </c>
      <c r="C230" s="2" t="s">
        <v>4</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30" customHeight="1" x14ac:dyDescent="0.25">
      <c r="A231" s="1" t="s">
        <v>163</v>
      </c>
      <c r="B231" s="1" t="str">
        <f>_xlfn.TEXTJOIN(",  ",TRUE,Table24[[#This Row],[Column 1]:[Column 32]])</f>
        <v>English Only</v>
      </c>
      <c r="C231" s="2" t="s">
        <v>4</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30" customHeight="1" x14ac:dyDescent="0.25">
      <c r="A232" s="1" t="s">
        <v>877</v>
      </c>
      <c r="B232" s="1" t="str">
        <f>_xlfn.TEXTJOIN(",  ",TRUE,Table24[[#This Row],[Column 1]:[Column 32]])</f>
        <v>English,  Spanish</v>
      </c>
      <c r="C232" s="2" t="s">
        <v>1297</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t="s">
        <v>28</v>
      </c>
      <c r="AC232" s="2"/>
      <c r="AD232" s="2"/>
      <c r="AE232" s="2"/>
      <c r="AF232" s="2"/>
      <c r="AG232" s="2"/>
      <c r="AH232" s="2"/>
    </row>
    <row r="233" spans="1:34" ht="30" customHeight="1" x14ac:dyDescent="0.25">
      <c r="A233" s="1" t="s">
        <v>49</v>
      </c>
      <c r="B233" s="1" t="str">
        <f>_xlfn.TEXTJOIN(",  ",TRUE,Table24[[#This Row],[Column 1]:[Column 32]])</f>
        <v>English Only</v>
      </c>
      <c r="C233" s="2" t="s">
        <v>4</v>
      </c>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30" customHeight="1" x14ac:dyDescent="0.25">
      <c r="A234" s="1" t="s">
        <v>544</v>
      </c>
      <c r="B234" s="1" t="str">
        <f>_xlfn.TEXTJOIN(",  ",TRUE,Table24[[#This Row],[Column 1]:[Column 32]])</f>
        <v>English,  Spanish</v>
      </c>
      <c r="C234" s="2" t="s">
        <v>1297</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t="s">
        <v>28</v>
      </c>
      <c r="AC234" s="2"/>
      <c r="AD234" s="2"/>
      <c r="AE234" s="2"/>
      <c r="AF234" s="2"/>
      <c r="AG234" s="2"/>
      <c r="AH234" s="2"/>
    </row>
    <row r="235" spans="1:34" ht="30" customHeight="1" x14ac:dyDescent="0.25">
      <c r="A235" s="1" t="s">
        <v>952</v>
      </c>
      <c r="B235" s="1" t="str">
        <f>_xlfn.TEXTJOIN(",  ",TRUE,Table24[[#This Row],[Column 1]:[Column 32]])</f>
        <v>English Only</v>
      </c>
      <c r="C235" s="2" t="s">
        <v>4</v>
      </c>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30" customHeight="1" x14ac:dyDescent="0.25">
      <c r="A236" s="1" t="s">
        <v>856</v>
      </c>
      <c r="B236" s="1" t="str">
        <f>_xlfn.TEXTJOIN(",  ",TRUE,Table24[[#This Row],[Column 1]:[Column 32]])</f>
        <v>English,  American Sign Language,  Armenian,  French,  Hindi,  Mandarin,  Spanish</v>
      </c>
      <c r="C236" s="2" t="s">
        <v>1297</v>
      </c>
      <c r="D236" s="2"/>
      <c r="E236" s="2" t="s">
        <v>6</v>
      </c>
      <c r="F236" s="2"/>
      <c r="G236" s="2"/>
      <c r="H236" s="2" t="s">
        <v>9</v>
      </c>
      <c r="I236" s="2"/>
      <c r="J236" s="2"/>
      <c r="K236" s="2"/>
      <c r="L236" s="2"/>
      <c r="M236" s="2"/>
      <c r="N236" s="2"/>
      <c r="O236" s="2" t="s">
        <v>16</v>
      </c>
      <c r="P236" s="2"/>
      <c r="Q236" s="2" t="s">
        <v>18</v>
      </c>
      <c r="R236" s="2"/>
      <c r="S236" s="2"/>
      <c r="T236" s="2"/>
      <c r="U236" s="2"/>
      <c r="V236" s="2" t="s">
        <v>23</v>
      </c>
      <c r="W236" s="2"/>
      <c r="X236" s="2"/>
      <c r="Y236" s="2"/>
      <c r="Z236" s="2"/>
      <c r="AA236" s="2"/>
      <c r="AB236" s="2" t="s">
        <v>28</v>
      </c>
      <c r="AC236" s="2"/>
      <c r="AD236" s="2"/>
      <c r="AE236" s="2"/>
      <c r="AF236" s="2"/>
      <c r="AG236" s="2"/>
      <c r="AH236" s="2"/>
    </row>
    <row r="237" spans="1:34" ht="30" customHeight="1" x14ac:dyDescent="0.25">
      <c r="A237" s="1" t="s">
        <v>118</v>
      </c>
      <c r="B237" s="1" t="str">
        <f>_xlfn.TEXTJOIN(",  ",TRUE,Table24[[#This Row],[Column 1]:[Column 32]])</f>
        <v>English,  Spanish</v>
      </c>
      <c r="C237" s="2" t="s">
        <v>1297</v>
      </c>
      <c r="D237" s="2"/>
      <c r="E237" s="2"/>
      <c r="F237" s="2"/>
      <c r="G237" s="2"/>
      <c r="H237" s="2"/>
      <c r="I237" s="2"/>
      <c r="J237" s="2"/>
      <c r="K237" s="2"/>
      <c r="L237" s="2"/>
      <c r="M237" s="2"/>
      <c r="N237" s="2"/>
      <c r="O237" s="2"/>
      <c r="P237" s="2"/>
      <c r="Q237" s="2"/>
      <c r="R237" s="2"/>
      <c r="S237" s="2"/>
      <c r="T237" s="2"/>
      <c r="U237" s="2"/>
      <c r="V237" s="2"/>
      <c r="W237" s="2"/>
      <c r="X237" s="2"/>
      <c r="Y237" s="2"/>
      <c r="Z237" s="2"/>
      <c r="AA237" s="2"/>
      <c r="AB237" s="2" t="s">
        <v>28</v>
      </c>
      <c r="AC237" s="2"/>
      <c r="AD237" s="2"/>
      <c r="AE237" s="2"/>
      <c r="AF237" s="2"/>
      <c r="AG237" s="2"/>
      <c r="AH237" s="2"/>
    </row>
    <row r="238" spans="1:34" ht="30" customHeight="1" x14ac:dyDescent="0.25">
      <c r="A238" s="1" t="s">
        <v>1227</v>
      </c>
      <c r="B238" s="1" t="str">
        <f>_xlfn.TEXTJOIN(",  ",TRUE,Table24[[#This Row],[Column 1]:[Column 32]])</f>
        <v>English Only</v>
      </c>
      <c r="C238" s="2" t="s">
        <v>4</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30" customHeight="1" x14ac:dyDescent="0.25">
      <c r="A239" s="1" t="s">
        <v>513</v>
      </c>
      <c r="B239" s="1" t="str">
        <f>_xlfn.TEXTJOIN(",  ",TRUE,Table24[[#This Row],[Column 1]:[Column 32]])</f>
        <v>English Only</v>
      </c>
      <c r="C239" s="2" t="s">
        <v>4</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30" customHeight="1" x14ac:dyDescent="0.25">
      <c r="A240" s="1" t="s">
        <v>408</v>
      </c>
      <c r="B240" s="1" t="str">
        <f>_xlfn.TEXTJOIN(",  ",TRUE,Table24[[#This Row],[Column 1]:[Column 32]])</f>
        <v>English Only</v>
      </c>
      <c r="C240" s="2" t="s">
        <v>4</v>
      </c>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30" customHeight="1" x14ac:dyDescent="0.25">
      <c r="A241" s="1" t="s">
        <v>436</v>
      </c>
      <c r="B241" s="1" t="str">
        <f>_xlfn.TEXTJOIN(",  ",TRUE,Table24[[#This Row],[Column 1]:[Column 32]])</f>
        <v>English Only</v>
      </c>
      <c r="C241" s="2" t="s">
        <v>4</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30" customHeight="1" x14ac:dyDescent="0.25">
      <c r="A242" s="1" t="s">
        <v>870</v>
      </c>
      <c r="B242" s="1" t="str">
        <f>_xlfn.TEXTJOIN(",  ",TRUE,Table24[[#This Row],[Column 1]:[Column 32]])</f>
        <v>English,  Arabic,  Armenian,  Spanish</v>
      </c>
      <c r="C242" s="2" t="s">
        <v>1297</v>
      </c>
      <c r="D242" s="2"/>
      <c r="E242" s="2"/>
      <c r="F242" s="2"/>
      <c r="G242" s="2" t="s">
        <v>8</v>
      </c>
      <c r="H242" s="2" t="s">
        <v>9</v>
      </c>
      <c r="I242" s="2"/>
      <c r="J242" s="2"/>
      <c r="K242" s="2"/>
      <c r="L242" s="2"/>
      <c r="M242" s="2"/>
      <c r="N242" s="2"/>
      <c r="O242" s="2"/>
      <c r="P242" s="2"/>
      <c r="Q242" s="2"/>
      <c r="R242" s="2"/>
      <c r="S242" s="2"/>
      <c r="T242" s="2"/>
      <c r="U242" s="2"/>
      <c r="V242" s="2"/>
      <c r="W242" s="2"/>
      <c r="X242" s="2"/>
      <c r="Y242" s="2"/>
      <c r="Z242" s="2"/>
      <c r="AA242" s="2"/>
      <c r="AB242" s="2" t="s">
        <v>28</v>
      </c>
      <c r="AC242" s="2"/>
      <c r="AD242" s="2"/>
      <c r="AE242" s="2"/>
      <c r="AF242" s="2"/>
      <c r="AG242" s="2"/>
      <c r="AH242" s="2"/>
    </row>
    <row r="243" spans="1:34" ht="30" customHeight="1" x14ac:dyDescent="0.25">
      <c r="A243" s="1" t="s">
        <v>460</v>
      </c>
      <c r="B243" s="1" t="str">
        <f>_xlfn.TEXTJOIN(",  ",TRUE,Table24[[#This Row],[Column 1]:[Column 32]])</f>
        <v>English Only,  Russian,  Spanish</v>
      </c>
      <c r="C243" s="2" t="s">
        <v>4</v>
      </c>
      <c r="D243" s="2"/>
      <c r="E243" s="2"/>
      <c r="F243" s="2"/>
      <c r="G243" s="2"/>
      <c r="H243" s="2"/>
      <c r="I243" s="2"/>
      <c r="J243" s="2"/>
      <c r="K243" s="2"/>
      <c r="L243" s="2"/>
      <c r="M243" s="2"/>
      <c r="N243" s="2"/>
      <c r="O243" s="2"/>
      <c r="P243" s="2"/>
      <c r="Q243" s="2"/>
      <c r="R243" s="2"/>
      <c r="S243" s="2"/>
      <c r="T243" s="2"/>
      <c r="U243" s="2"/>
      <c r="V243" s="2"/>
      <c r="W243" s="2"/>
      <c r="X243" s="2"/>
      <c r="Y243" s="2"/>
      <c r="Z243" s="2" t="s">
        <v>26</v>
      </c>
      <c r="AA243" s="2"/>
      <c r="AB243" s="2" t="s">
        <v>28</v>
      </c>
      <c r="AC243" s="2"/>
      <c r="AD243" s="2"/>
      <c r="AE243" s="2"/>
      <c r="AF243" s="2"/>
      <c r="AG243" s="2"/>
      <c r="AH243" s="2"/>
    </row>
    <row r="244" spans="1:34" ht="30" customHeight="1" x14ac:dyDescent="0.25">
      <c r="A244" s="1" t="s">
        <v>937</v>
      </c>
      <c r="B244" s="1" t="str">
        <f>_xlfn.TEXTJOIN(",  ",TRUE,Table24[[#This Row],[Column 1]:[Column 32]])</f>
        <v>English,  Armenian,  Spanish</v>
      </c>
      <c r="C244" s="2" t="s">
        <v>1297</v>
      </c>
      <c r="D244" s="2"/>
      <c r="E244" s="2"/>
      <c r="F244" s="2"/>
      <c r="G244" s="2"/>
      <c r="H244" s="2" t="s">
        <v>9</v>
      </c>
      <c r="I244" s="2"/>
      <c r="J244" s="2"/>
      <c r="K244" s="2"/>
      <c r="L244" s="2"/>
      <c r="M244" s="2"/>
      <c r="N244" s="2"/>
      <c r="O244" s="2"/>
      <c r="P244" s="2"/>
      <c r="Q244" s="2"/>
      <c r="R244" s="2"/>
      <c r="S244" s="2"/>
      <c r="T244" s="2"/>
      <c r="U244" s="2"/>
      <c r="V244" s="2"/>
      <c r="W244" s="2"/>
      <c r="X244" s="2"/>
      <c r="Y244" s="2"/>
      <c r="Z244" s="2"/>
      <c r="AA244" s="2"/>
      <c r="AB244" s="2" t="s">
        <v>28</v>
      </c>
      <c r="AC244" s="2"/>
      <c r="AD244" s="2"/>
      <c r="AE244" s="2"/>
      <c r="AF244" s="2"/>
      <c r="AG244" s="2"/>
      <c r="AH244" s="2"/>
    </row>
    <row r="245" spans="1:34" ht="30" customHeight="1" x14ac:dyDescent="0.25">
      <c r="A245" s="1" t="s">
        <v>80</v>
      </c>
      <c r="B245" s="1" t="str">
        <f>_xlfn.TEXTJOIN(",  ",TRUE,Table24[[#This Row],[Column 1]:[Column 32]])</f>
        <v>English,  Spanish</v>
      </c>
      <c r="C245" s="2" t="s">
        <v>1297</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t="s">
        <v>28</v>
      </c>
      <c r="AC245" s="2"/>
      <c r="AD245" s="2"/>
      <c r="AE245" s="2"/>
      <c r="AF245" s="2"/>
      <c r="AG245" s="2"/>
      <c r="AH245" s="2"/>
    </row>
    <row r="246" spans="1:34" ht="30" customHeight="1" x14ac:dyDescent="0.25">
      <c r="A246" s="1" t="s">
        <v>175</v>
      </c>
      <c r="B246" s="1" t="str">
        <f>_xlfn.TEXTJOIN(",  ",TRUE,Table24[[#This Row],[Column 1]:[Column 32]])</f>
        <v>English,  French,  Spanish</v>
      </c>
      <c r="C246" s="2" t="s">
        <v>1297</v>
      </c>
      <c r="D246" s="2"/>
      <c r="E246" s="2"/>
      <c r="F246" s="2"/>
      <c r="G246" s="2"/>
      <c r="H246" s="2"/>
      <c r="I246" s="2"/>
      <c r="J246" s="2"/>
      <c r="K246" s="2"/>
      <c r="L246" s="2"/>
      <c r="M246" s="2"/>
      <c r="N246" s="2"/>
      <c r="O246" s="2" t="s">
        <v>16</v>
      </c>
      <c r="P246" s="2"/>
      <c r="Q246" s="2"/>
      <c r="R246" s="2"/>
      <c r="S246" s="2"/>
      <c r="T246" s="2"/>
      <c r="U246" s="2"/>
      <c r="V246" s="2"/>
      <c r="W246" s="2"/>
      <c r="X246" s="2"/>
      <c r="Y246" s="2"/>
      <c r="Z246" s="2"/>
      <c r="AA246" s="2"/>
      <c r="AB246" s="2" t="s">
        <v>28</v>
      </c>
      <c r="AC246" s="2"/>
      <c r="AD246" s="2"/>
      <c r="AE246" s="2"/>
      <c r="AF246" s="2"/>
      <c r="AG246" s="2"/>
      <c r="AH246" s="2"/>
    </row>
    <row r="247" spans="1:34" ht="30" customHeight="1" x14ac:dyDescent="0.25">
      <c r="A247" s="1" t="s">
        <v>884</v>
      </c>
      <c r="B247" s="1" t="str">
        <f>_xlfn.TEXTJOIN(",  ",TRUE,Table24[[#This Row],[Column 1]:[Column 32]])</f>
        <v>English Only</v>
      </c>
      <c r="C247" s="2" t="s">
        <v>4</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30" customHeight="1" x14ac:dyDescent="0.25">
      <c r="A248" s="1" t="s">
        <v>230</v>
      </c>
      <c r="B248" s="1" t="str">
        <f>_xlfn.TEXTJOIN(",  ",TRUE,Table24[[#This Row],[Column 1]:[Column 32]])</f>
        <v>English Only</v>
      </c>
      <c r="C248" s="2" t="s">
        <v>4</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30" customHeight="1" x14ac:dyDescent="0.25">
      <c r="A249" s="1" t="s">
        <v>45</v>
      </c>
      <c r="B249" s="1" t="str">
        <f>_xlfn.TEXTJOIN(",  ",TRUE,Table24[[#This Row],[Column 1]:[Column 32]])</f>
        <v>English,  Spanish</v>
      </c>
      <c r="C249" s="2" t="s">
        <v>1297</v>
      </c>
      <c r="D249" s="2"/>
      <c r="E249" s="2"/>
      <c r="F249" s="2"/>
      <c r="G249" s="2"/>
      <c r="H249" s="2"/>
      <c r="I249" s="2"/>
      <c r="J249" s="2"/>
      <c r="K249" s="2"/>
      <c r="L249" s="2"/>
      <c r="M249" s="2"/>
      <c r="N249" s="2"/>
      <c r="O249" s="2"/>
      <c r="P249" s="2"/>
      <c r="Q249" s="2"/>
      <c r="R249" s="2"/>
      <c r="S249" s="2"/>
      <c r="T249" s="2"/>
      <c r="U249" s="2"/>
      <c r="V249" s="2"/>
      <c r="W249" s="2"/>
      <c r="X249" s="2"/>
      <c r="Y249" s="2"/>
      <c r="Z249" s="2"/>
      <c r="AA249" s="2"/>
      <c r="AB249" s="2" t="s">
        <v>28</v>
      </c>
      <c r="AC249" s="2"/>
      <c r="AD249" s="2"/>
      <c r="AE249" s="2"/>
      <c r="AF249" s="2"/>
      <c r="AG249" s="2"/>
      <c r="AH249" s="2"/>
    </row>
    <row r="250" spans="1:34" ht="30" customHeight="1" x14ac:dyDescent="0.25">
      <c r="A250" s="1" t="s">
        <v>301</v>
      </c>
      <c r="B250" s="1" t="str">
        <f>_xlfn.TEXTJOIN(",  ",TRUE,Table24[[#This Row],[Column 1]:[Column 32]])</f>
        <v>English Only</v>
      </c>
      <c r="C250" s="2" t="s">
        <v>4</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30" customHeight="1" x14ac:dyDescent="0.25">
      <c r="A251" s="1" t="s">
        <v>947</v>
      </c>
      <c r="B251" s="1" t="str">
        <f>_xlfn.TEXTJOIN(",  ",TRUE,Table24[[#This Row],[Column 1]:[Column 32]])</f>
        <v>English Only</v>
      </c>
      <c r="C251" s="2" t="s">
        <v>4</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30" customHeight="1" x14ac:dyDescent="0.25">
      <c r="A252" s="1" t="s">
        <v>1226</v>
      </c>
      <c r="B252" s="1" t="str">
        <f>_xlfn.TEXTJOIN(",  ",TRUE,Table24[[#This Row],[Column 1]:[Column 32]])</f>
        <v>English,  Spanish</v>
      </c>
      <c r="C252" s="2" t="s">
        <v>1297</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t="s">
        <v>28</v>
      </c>
      <c r="AC252" s="2"/>
      <c r="AD252" s="2"/>
      <c r="AE252" s="2"/>
      <c r="AF252" s="2"/>
      <c r="AG252" s="2"/>
      <c r="AH252" s="2"/>
    </row>
    <row r="253" spans="1:34" ht="30" customHeight="1" x14ac:dyDescent="0.25">
      <c r="A253" s="1" t="s">
        <v>855</v>
      </c>
      <c r="B253" s="1" t="str">
        <f>_xlfn.TEXTJOIN(",  ",TRUE,Table24[[#This Row],[Column 1]:[Column 32]])</f>
        <v>English Only</v>
      </c>
      <c r="C253" s="2" t="s">
        <v>4</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30" customHeight="1" x14ac:dyDescent="0.25">
      <c r="A254" s="1" t="s">
        <v>480</v>
      </c>
      <c r="B254" s="1" t="str">
        <f>_xlfn.TEXTJOIN(",  ",TRUE,Table24[[#This Row],[Column 1]:[Column 32]])</f>
        <v>English,  Spanish</v>
      </c>
      <c r="C254" s="2" t="s">
        <v>1297</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t="s">
        <v>28</v>
      </c>
      <c r="AC254" s="2"/>
      <c r="AD254" s="2"/>
      <c r="AE254" s="2"/>
      <c r="AF254" s="2"/>
      <c r="AG254" s="2"/>
      <c r="AH254" s="2"/>
    </row>
    <row r="255" spans="1:34" ht="30" customHeight="1" x14ac:dyDescent="0.25">
      <c r="A255" s="1" t="s">
        <v>315</v>
      </c>
      <c r="B255" s="1" t="str">
        <f>_xlfn.TEXTJOIN(",  ",TRUE,Table24[[#This Row],[Column 1]:[Column 32]])</f>
        <v>English,  Spanish</v>
      </c>
      <c r="C255" s="2" t="s">
        <v>1297</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t="s">
        <v>28</v>
      </c>
      <c r="AC255" s="2"/>
      <c r="AD255" s="2"/>
      <c r="AE255" s="2"/>
      <c r="AF255" s="2"/>
      <c r="AG255" s="2"/>
      <c r="AH255" s="2"/>
    </row>
    <row r="256" spans="1:34" ht="30" customHeight="1" x14ac:dyDescent="0.25">
      <c r="A256" s="1" t="s">
        <v>927</v>
      </c>
      <c r="B256" s="1" t="str">
        <f>_xlfn.TEXTJOIN(",  ",TRUE,Table24[[#This Row],[Column 1]:[Column 32]])</f>
        <v>English Only</v>
      </c>
      <c r="C256" s="2" t="s">
        <v>4</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30" customHeight="1" x14ac:dyDescent="0.25">
      <c r="A257" s="1" t="s">
        <v>344</v>
      </c>
      <c r="B257" s="1" t="str">
        <f>_xlfn.TEXTJOIN(",  ",TRUE,Table24[[#This Row],[Column 1]:[Column 32]])</f>
        <v>English Only</v>
      </c>
      <c r="C257" s="2" t="s">
        <v>4</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30" customHeight="1" x14ac:dyDescent="0.25">
      <c r="A258" s="1" t="s">
        <v>902</v>
      </c>
      <c r="B258" s="1" t="str">
        <f>_xlfn.TEXTJOIN(",  ",TRUE,Table24[[#This Row],[Column 1]:[Column 32]])</f>
        <v>English Only</v>
      </c>
      <c r="C258" s="2" t="s">
        <v>4</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30" customHeight="1" x14ac:dyDescent="0.25">
      <c r="A259" s="1" t="s">
        <v>944</v>
      </c>
      <c r="B259" s="1" t="str">
        <f>_xlfn.TEXTJOIN(",  ",TRUE,Table24[[#This Row],[Column 1]:[Column 32]])</f>
        <v>English,  Arabic,  Russian,  Spanish,  Tagalog</v>
      </c>
      <c r="C259" s="2" t="s">
        <v>1297</v>
      </c>
      <c r="D259" s="2"/>
      <c r="E259" s="2"/>
      <c r="F259" s="2"/>
      <c r="G259" s="2" t="s">
        <v>8</v>
      </c>
      <c r="H259" s="2"/>
      <c r="I259" s="2"/>
      <c r="J259" s="2"/>
      <c r="K259" s="2"/>
      <c r="L259" s="2"/>
      <c r="M259" s="2"/>
      <c r="N259" s="2"/>
      <c r="O259" s="2"/>
      <c r="P259" s="2"/>
      <c r="Q259" s="2"/>
      <c r="R259" s="2"/>
      <c r="S259" s="2"/>
      <c r="T259" s="2"/>
      <c r="U259" s="2"/>
      <c r="V259" s="2"/>
      <c r="W259" s="2"/>
      <c r="X259" s="2"/>
      <c r="Y259" s="2"/>
      <c r="Z259" s="2" t="s">
        <v>26</v>
      </c>
      <c r="AA259" s="2"/>
      <c r="AB259" s="2" t="s">
        <v>28</v>
      </c>
      <c r="AC259" s="2"/>
      <c r="AD259" s="2" t="s">
        <v>30</v>
      </c>
      <c r="AE259" s="2"/>
      <c r="AF259" s="2"/>
      <c r="AG259" s="2"/>
      <c r="AH259" s="2"/>
    </row>
    <row r="260" spans="1:34" ht="30" customHeight="1" x14ac:dyDescent="0.25">
      <c r="A260" s="1" t="s">
        <v>871</v>
      </c>
      <c r="B260" s="1" t="str">
        <f>_xlfn.TEXTJOIN(",  ",TRUE,Table24[[#This Row],[Column 1]:[Column 32]])</f>
        <v>English,  Russian,  Spanish,  Ukrainian</v>
      </c>
      <c r="C260" s="2" t="s">
        <v>1297</v>
      </c>
      <c r="D260" s="2"/>
      <c r="E260" s="2"/>
      <c r="F260" s="2"/>
      <c r="G260" s="2"/>
      <c r="H260" s="2"/>
      <c r="I260" s="2"/>
      <c r="J260" s="2"/>
      <c r="K260" s="2"/>
      <c r="L260" s="2"/>
      <c r="M260" s="2"/>
      <c r="N260" s="2"/>
      <c r="O260" s="2"/>
      <c r="P260" s="2"/>
      <c r="Q260" s="2"/>
      <c r="R260" s="2"/>
      <c r="S260" s="2"/>
      <c r="T260" s="2"/>
      <c r="U260" s="2"/>
      <c r="V260" s="2"/>
      <c r="W260" s="2"/>
      <c r="X260" s="2"/>
      <c r="Y260" s="2"/>
      <c r="Z260" s="2" t="s">
        <v>26</v>
      </c>
      <c r="AA260" s="2"/>
      <c r="AB260" s="2" t="s">
        <v>28</v>
      </c>
      <c r="AC260" s="2"/>
      <c r="AD260" s="2"/>
      <c r="AE260" s="2"/>
      <c r="AF260" s="2" t="s">
        <v>31</v>
      </c>
      <c r="AG260" s="2"/>
      <c r="AH260" s="2"/>
    </row>
    <row r="261" spans="1:34" ht="30" customHeight="1" x14ac:dyDescent="0.25">
      <c r="A261" s="1" t="s">
        <v>885</v>
      </c>
      <c r="B261" s="1" t="str">
        <f>_xlfn.TEXTJOIN(",  ",TRUE,Table24[[#This Row],[Column 1]:[Column 32]])</f>
        <v>English,  Spanish</v>
      </c>
      <c r="C261" s="2" t="s">
        <v>1297</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t="s">
        <v>28</v>
      </c>
      <c r="AC261" s="2"/>
      <c r="AD261" s="2"/>
      <c r="AE261" s="2"/>
      <c r="AF261" s="2"/>
      <c r="AG261" s="2"/>
      <c r="AH261" s="2"/>
    </row>
  </sheetData>
  <phoneticPr fontId="5"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ED93-0DF0-4866-AAB4-FBD2E975C110}">
  <dimension ref="A2:D262"/>
  <sheetViews>
    <sheetView workbookViewId="0">
      <selection activeCell="H8" sqref="H8"/>
    </sheetView>
  </sheetViews>
  <sheetFormatPr defaultRowHeight="15" x14ac:dyDescent="0.25"/>
  <cols>
    <col min="1" max="1" width="37.140625" style="1" bestFit="1" customWidth="1"/>
    <col min="2" max="2" width="37.140625" style="1" customWidth="1"/>
    <col min="3" max="3" width="20.28515625" style="1" bestFit="1" customWidth="1"/>
    <col min="4" max="4" width="20" style="1" bestFit="1" customWidth="1"/>
  </cols>
  <sheetData>
    <row r="2" spans="1:4" ht="30" x14ac:dyDescent="0.25">
      <c r="A2" s="6" t="s">
        <v>847</v>
      </c>
      <c r="B2" s="23" t="s">
        <v>1421</v>
      </c>
      <c r="C2" s="19" t="s">
        <v>1419</v>
      </c>
      <c r="D2" s="22" t="s">
        <v>1420</v>
      </c>
    </row>
    <row r="3" spans="1:4" ht="30" x14ac:dyDescent="0.25">
      <c r="A3" s="1" t="s">
        <v>857</v>
      </c>
      <c r="B3" s="1" t="str">
        <f>_xlfn.TEXTJOIN(CHAR(10),TRUE,C3:D3)</f>
        <v>Single-Family Homes
Multifamily Home Properties</v>
      </c>
      <c r="C3" s="1" t="s">
        <v>1419</v>
      </c>
      <c r="D3" s="1" t="s">
        <v>1420</v>
      </c>
    </row>
    <row r="4" spans="1:4" x14ac:dyDescent="0.25">
      <c r="A4" s="1" t="s">
        <v>863</v>
      </c>
      <c r="B4" s="1" t="str">
        <f t="shared" ref="B4:B67" si="0">_xlfn.TEXTJOIN(CHAR(10),TRUE,C4:D4)</f>
        <v>Single-Family Homes</v>
      </c>
      <c r="C4" s="1" t="s">
        <v>1419</v>
      </c>
    </row>
    <row r="5" spans="1:4" ht="30" x14ac:dyDescent="0.25">
      <c r="A5" s="1" t="s">
        <v>240</v>
      </c>
      <c r="B5" s="1" t="str">
        <f t="shared" si="0"/>
        <v>Single-Family Homes
Multifamily Home Properties</v>
      </c>
      <c r="C5" s="1" t="s">
        <v>1419</v>
      </c>
      <c r="D5" s="1" t="s">
        <v>1420</v>
      </c>
    </row>
    <row r="6" spans="1:4" ht="30" x14ac:dyDescent="0.25">
      <c r="A6" s="1" t="s">
        <v>214</v>
      </c>
      <c r="B6" s="1" t="str">
        <f t="shared" si="0"/>
        <v>Multifamily Home Properties</v>
      </c>
      <c r="D6" s="1" t="s">
        <v>1420</v>
      </c>
    </row>
    <row r="7" spans="1:4" ht="30" x14ac:dyDescent="0.25">
      <c r="A7" s="1" t="s">
        <v>866</v>
      </c>
      <c r="B7" s="1" t="str">
        <f t="shared" si="0"/>
        <v>Single-Family Homes
Multifamily Home Properties</v>
      </c>
      <c r="C7" s="1" t="s">
        <v>1419</v>
      </c>
      <c r="D7" s="1" t="s">
        <v>1420</v>
      </c>
    </row>
    <row r="8" spans="1:4" ht="30" x14ac:dyDescent="0.25">
      <c r="A8" s="1" t="s">
        <v>71</v>
      </c>
      <c r="B8" s="1" t="str">
        <f t="shared" si="0"/>
        <v>Single-Family Homes
Multifamily Home Properties</v>
      </c>
      <c r="C8" s="1" t="s">
        <v>1419</v>
      </c>
      <c r="D8" s="1" t="s">
        <v>1420</v>
      </c>
    </row>
    <row r="9" spans="1:4" ht="30" x14ac:dyDescent="0.25">
      <c r="A9" s="1" t="s">
        <v>1233</v>
      </c>
      <c r="B9" s="1" t="str">
        <f t="shared" si="0"/>
        <v>Single-Family Homes
Multifamily Home Properties</v>
      </c>
      <c r="C9" s="1" t="s">
        <v>1419</v>
      </c>
      <c r="D9" s="1" t="s">
        <v>1420</v>
      </c>
    </row>
    <row r="10" spans="1:4" ht="30" x14ac:dyDescent="0.25">
      <c r="A10" s="1" t="s">
        <v>907</v>
      </c>
      <c r="B10" s="1" t="str">
        <f t="shared" si="0"/>
        <v>Single-Family Homes
Multifamily Home Properties</v>
      </c>
      <c r="C10" s="1" t="s">
        <v>1419</v>
      </c>
      <c r="D10" s="1" t="s">
        <v>1420</v>
      </c>
    </row>
    <row r="11" spans="1:4" ht="30" x14ac:dyDescent="0.25">
      <c r="A11" s="1" t="s">
        <v>458</v>
      </c>
      <c r="B11" s="1" t="str">
        <f t="shared" si="0"/>
        <v>Single-Family Homes
Multifamily Home Properties</v>
      </c>
      <c r="C11" s="1" t="s">
        <v>1419</v>
      </c>
      <c r="D11" s="1" t="s">
        <v>1420</v>
      </c>
    </row>
    <row r="12" spans="1:4" x14ac:dyDescent="0.25">
      <c r="A12" s="1" t="s">
        <v>208</v>
      </c>
      <c r="B12" s="1" t="str">
        <f t="shared" si="0"/>
        <v>Single-Family Homes</v>
      </c>
      <c r="C12" s="1" t="s">
        <v>1419</v>
      </c>
    </row>
    <row r="13" spans="1:4" ht="30" x14ac:dyDescent="0.25">
      <c r="A13" s="1" t="s">
        <v>906</v>
      </c>
      <c r="B13" s="1" t="str">
        <f t="shared" si="0"/>
        <v>Single-Family Homes
Multifamily Home Properties</v>
      </c>
      <c r="C13" s="1" t="s">
        <v>1419</v>
      </c>
      <c r="D13" s="1" t="s">
        <v>1420</v>
      </c>
    </row>
    <row r="14" spans="1:4" ht="30" x14ac:dyDescent="0.25">
      <c r="A14" s="1" t="s">
        <v>1295</v>
      </c>
      <c r="B14" s="1" t="str">
        <f t="shared" si="0"/>
        <v>Single-Family Homes
Multifamily Home Properties</v>
      </c>
      <c r="C14" s="1" t="s">
        <v>1419</v>
      </c>
      <c r="D14" s="1" t="s">
        <v>1420</v>
      </c>
    </row>
    <row r="15" spans="1:4" ht="30" x14ac:dyDescent="0.25">
      <c r="A15" s="1" t="s">
        <v>941</v>
      </c>
      <c r="B15" s="1" t="str">
        <f t="shared" si="0"/>
        <v>Single-Family Homes
Multifamily Home Properties</v>
      </c>
      <c r="C15" s="1" t="s">
        <v>1419</v>
      </c>
      <c r="D15" s="1" t="s">
        <v>1420</v>
      </c>
    </row>
    <row r="16" spans="1:4" ht="30" x14ac:dyDescent="0.25">
      <c r="A16" s="1" t="s">
        <v>122</v>
      </c>
      <c r="B16" s="1" t="str">
        <f t="shared" si="0"/>
        <v>Single-Family Homes
Multifamily Home Properties</v>
      </c>
      <c r="C16" s="1" t="s">
        <v>1419</v>
      </c>
      <c r="D16" s="1" t="s">
        <v>1420</v>
      </c>
    </row>
    <row r="17" spans="1:4" ht="30" x14ac:dyDescent="0.25">
      <c r="A17" s="1" t="s">
        <v>881</v>
      </c>
      <c r="B17" s="1" t="str">
        <f t="shared" si="0"/>
        <v>Single-Family Homes
Multifamily Home Properties</v>
      </c>
      <c r="C17" s="1" t="s">
        <v>1419</v>
      </c>
      <c r="D17" s="1" t="s">
        <v>1420</v>
      </c>
    </row>
    <row r="18" spans="1:4" x14ac:dyDescent="0.25">
      <c r="A18" s="1" t="s">
        <v>936</v>
      </c>
      <c r="B18" s="1" t="str">
        <f t="shared" si="0"/>
        <v>Single-Family Homes</v>
      </c>
      <c r="C18" s="1" t="s">
        <v>1419</v>
      </c>
    </row>
    <row r="19" spans="1:4" ht="30" x14ac:dyDescent="0.25">
      <c r="A19" s="1" t="s">
        <v>87</v>
      </c>
      <c r="B19" s="1" t="str">
        <f t="shared" si="0"/>
        <v>Single-Family Homes
Multifamily Home Properties</v>
      </c>
      <c r="C19" s="1" t="s">
        <v>1419</v>
      </c>
      <c r="D19" s="1" t="s">
        <v>1420</v>
      </c>
    </row>
    <row r="20" spans="1:4" x14ac:dyDescent="0.25">
      <c r="A20" s="1" t="s">
        <v>427</v>
      </c>
      <c r="B20" s="1" t="str">
        <f t="shared" si="0"/>
        <v>Single-Family Homes</v>
      </c>
      <c r="C20" s="1" t="s">
        <v>1419</v>
      </c>
    </row>
    <row r="21" spans="1:4" x14ac:dyDescent="0.25">
      <c r="A21" s="1" t="s">
        <v>915</v>
      </c>
      <c r="B21" s="1" t="str">
        <f t="shared" si="0"/>
        <v>Single-Family Homes</v>
      </c>
      <c r="C21" s="1" t="s">
        <v>1419</v>
      </c>
    </row>
    <row r="22" spans="1:4" ht="30" x14ac:dyDescent="0.25">
      <c r="A22" s="1" t="s">
        <v>383</v>
      </c>
      <c r="B22" s="1" t="str">
        <f t="shared" si="0"/>
        <v>Single-Family Homes
Multifamily Home Properties</v>
      </c>
      <c r="C22" s="1" t="s">
        <v>1419</v>
      </c>
      <c r="D22" s="1" t="s">
        <v>1420</v>
      </c>
    </row>
    <row r="23" spans="1:4" ht="30" x14ac:dyDescent="0.25">
      <c r="A23" s="1" t="s">
        <v>293</v>
      </c>
      <c r="B23" s="1" t="str">
        <f t="shared" si="0"/>
        <v>Single-Family Homes
Multifamily Home Properties</v>
      </c>
      <c r="C23" s="1" t="s">
        <v>1419</v>
      </c>
      <c r="D23" s="1" t="s">
        <v>1420</v>
      </c>
    </row>
    <row r="24" spans="1:4" ht="30" x14ac:dyDescent="0.25">
      <c r="A24" s="1" t="s">
        <v>401</v>
      </c>
      <c r="B24" s="1" t="str">
        <f t="shared" si="0"/>
        <v>Multifamily Home Properties</v>
      </c>
      <c r="D24" s="1" t="s">
        <v>1420</v>
      </c>
    </row>
    <row r="25" spans="1:4" x14ac:dyDescent="0.25">
      <c r="A25" s="1" t="s">
        <v>471</v>
      </c>
      <c r="B25" s="1" t="str">
        <f t="shared" si="0"/>
        <v>No Reply</v>
      </c>
      <c r="C25" s="1" t="s">
        <v>1213</v>
      </c>
    </row>
    <row r="26" spans="1:4" ht="30" x14ac:dyDescent="0.25">
      <c r="A26" s="1" t="s">
        <v>883</v>
      </c>
      <c r="B26" s="1" t="str">
        <f t="shared" si="0"/>
        <v>Multifamily Home Properties</v>
      </c>
      <c r="D26" s="1" t="s">
        <v>1420</v>
      </c>
    </row>
    <row r="27" spans="1:4" ht="30" x14ac:dyDescent="0.25">
      <c r="A27" s="1" t="s">
        <v>360</v>
      </c>
      <c r="B27" s="1" t="str">
        <f t="shared" si="0"/>
        <v>Single-Family Homes
Multifamily Home Properties</v>
      </c>
      <c r="C27" s="1" t="s">
        <v>1419</v>
      </c>
      <c r="D27" s="1" t="s">
        <v>1420</v>
      </c>
    </row>
    <row r="28" spans="1:4" ht="30" x14ac:dyDescent="0.25">
      <c r="A28" s="1" t="s">
        <v>942</v>
      </c>
      <c r="B28" s="1" t="str">
        <f t="shared" si="0"/>
        <v>Single-Family Homes
Multifamily Home Properties</v>
      </c>
      <c r="C28" s="1" t="s">
        <v>1419</v>
      </c>
      <c r="D28" s="1" t="s">
        <v>1420</v>
      </c>
    </row>
    <row r="29" spans="1:4" x14ac:dyDescent="0.25">
      <c r="A29" s="1" t="s">
        <v>366</v>
      </c>
      <c r="B29" s="1" t="str">
        <f t="shared" si="0"/>
        <v>Single-Family Homes</v>
      </c>
      <c r="C29" s="1" t="s">
        <v>1419</v>
      </c>
    </row>
    <row r="30" spans="1:4" x14ac:dyDescent="0.25">
      <c r="A30" s="1" t="s">
        <v>553</v>
      </c>
      <c r="B30" s="1" t="str">
        <f t="shared" si="0"/>
        <v>Single-Family Homes</v>
      </c>
      <c r="C30" s="1" t="s">
        <v>1419</v>
      </c>
    </row>
    <row r="31" spans="1:4" ht="30" x14ac:dyDescent="0.25">
      <c r="A31" s="1" t="s">
        <v>943</v>
      </c>
      <c r="B31" s="1" t="str">
        <f t="shared" si="0"/>
        <v>Single-Family Homes
Multifamily Home Properties</v>
      </c>
      <c r="C31" s="1" t="s">
        <v>1419</v>
      </c>
      <c r="D31" s="1" t="s">
        <v>1420</v>
      </c>
    </row>
    <row r="32" spans="1:4" ht="30" x14ac:dyDescent="0.25">
      <c r="A32" s="1" t="s">
        <v>1232</v>
      </c>
      <c r="B32" s="1" t="str">
        <f t="shared" si="0"/>
        <v>Single-Family Homes
Multifamily Home Properties</v>
      </c>
      <c r="C32" s="1" t="s">
        <v>1419</v>
      </c>
      <c r="D32" s="1" t="s">
        <v>1420</v>
      </c>
    </row>
    <row r="33" spans="1:4" x14ac:dyDescent="0.25">
      <c r="A33" s="1" t="s">
        <v>928</v>
      </c>
      <c r="B33" s="1" t="str">
        <f t="shared" si="0"/>
        <v>Single-Family Homes</v>
      </c>
      <c r="C33" s="1" t="s">
        <v>1419</v>
      </c>
    </row>
    <row r="34" spans="1:4" x14ac:dyDescent="0.25">
      <c r="A34" s="1" t="s">
        <v>549</v>
      </c>
      <c r="B34" s="1" t="str">
        <f t="shared" si="0"/>
        <v>No Reply</v>
      </c>
      <c r="C34" s="1" t="s">
        <v>1213</v>
      </c>
    </row>
    <row r="35" spans="1:4" x14ac:dyDescent="0.25">
      <c r="A35" s="1" t="s">
        <v>202</v>
      </c>
      <c r="B35" s="1" t="str">
        <f t="shared" si="0"/>
        <v>No Reply</v>
      </c>
      <c r="C35" s="1" t="s">
        <v>1213</v>
      </c>
    </row>
    <row r="36" spans="1:4" x14ac:dyDescent="0.25">
      <c r="A36" s="1" t="s">
        <v>851</v>
      </c>
      <c r="B36" s="1" t="str">
        <f t="shared" si="0"/>
        <v>Single-Family Homes</v>
      </c>
      <c r="C36" s="1" t="s">
        <v>1419</v>
      </c>
    </row>
    <row r="37" spans="1:4" ht="30" x14ac:dyDescent="0.25">
      <c r="A37" s="1" t="s">
        <v>882</v>
      </c>
      <c r="B37" s="1" t="str">
        <f t="shared" si="0"/>
        <v>Single-Family Homes
Multifamily Home Properties</v>
      </c>
      <c r="C37" s="1" t="s">
        <v>1419</v>
      </c>
      <c r="D37" s="1" t="s">
        <v>1420</v>
      </c>
    </row>
    <row r="38" spans="1:4" x14ac:dyDescent="0.25">
      <c r="A38" s="1" t="s">
        <v>217</v>
      </c>
      <c r="B38" s="1" t="str">
        <f t="shared" si="0"/>
        <v>Single-Family Homes</v>
      </c>
      <c r="C38" s="1" t="s">
        <v>1419</v>
      </c>
    </row>
    <row r="39" spans="1:4" ht="30" x14ac:dyDescent="0.25">
      <c r="A39" s="1" t="s">
        <v>463</v>
      </c>
      <c r="B39" s="1" t="str">
        <f t="shared" si="0"/>
        <v>Single-Family Homes
Multifamily Home Properties</v>
      </c>
      <c r="C39" s="1" t="s">
        <v>1419</v>
      </c>
      <c r="D39" s="1" t="s">
        <v>1420</v>
      </c>
    </row>
    <row r="40" spans="1:4" ht="30" x14ac:dyDescent="0.25">
      <c r="A40" s="1" t="s">
        <v>505</v>
      </c>
      <c r="B40" s="1" t="str">
        <f t="shared" si="0"/>
        <v>Single-Family Homes
Multifamily Home Properties</v>
      </c>
      <c r="C40" s="1" t="s">
        <v>1419</v>
      </c>
      <c r="D40" s="1" t="s">
        <v>1420</v>
      </c>
    </row>
    <row r="41" spans="1:4" x14ac:dyDescent="0.25">
      <c r="A41" s="1" t="s">
        <v>497</v>
      </c>
      <c r="B41" s="1" t="str">
        <f t="shared" si="0"/>
        <v>No Reply</v>
      </c>
      <c r="C41" s="1" t="s">
        <v>1213</v>
      </c>
    </row>
    <row r="42" spans="1:4" x14ac:dyDescent="0.25">
      <c r="A42" s="1" t="s">
        <v>1231</v>
      </c>
      <c r="B42" s="1" t="str">
        <f t="shared" si="0"/>
        <v>Single-Family Homes</v>
      </c>
      <c r="C42" s="1" t="s">
        <v>1419</v>
      </c>
    </row>
    <row r="43" spans="1:4" ht="30" x14ac:dyDescent="0.25">
      <c r="A43" s="1" t="s">
        <v>926</v>
      </c>
      <c r="B43" s="1" t="str">
        <f t="shared" si="0"/>
        <v>Single-Family Homes
Multifamily Home Properties</v>
      </c>
      <c r="C43" s="1" t="s">
        <v>1419</v>
      </c>
      <c r="D43" s="1" t="s">
        <v>1420</v>
      </c>
    </row>
    <row r="44" spans="1:4" ht="30" x14ac:dyDescent="0.25">
      <c r="A44" s="1" t="s">
        <v>923</v>
      </c>
      <c r="B44" s="1" t="str">
        <f t="shared" si="0"/>
        <v>Single-Family Homes
Multifamily Home Properties</v>
      </c>
      <c r="C44" s="1" t="s">
        <v>1419</v>
      </c>
      <c r="D44" s="1" t="s">
        <v>1420</v>
      </c>
    </row>
    <row r="45" spans="1:4" ht="30" x14ac:dyDescent="0.25">
      <c r="A45" s="1" t="s">
        <v>60</v>
      </c>
      <c r="B45" s="1" t="str">
        <f t="shared" si="0"/>
        <v>Single-Family Homes
Multifamily Home Properties</v>
      </c>
      <c r="C45" s="1" t="s">
        <v>1419</v>
      </c>
      <c r="D45" s="1" t="s">
        <v>1420</v>
      </c>
    </row>
    <row r="46" spans="1:4" ht="30" x14ac:dyDescent="0.25">
      <c r="A46" s="1" t="s">
        <v>205</v>
      </c>
      <c r="B46" s="1" t="str">
        <f t="shared" si="0"/>
        <v>Multifamily Home Properties</v>
      </c>
      <c r="D46" s="1" t="s">
        <v>1420</v>
      </c>
    </row>
    <row r="47" spans="1:4" ht="30" x14ac:dyDescent="0.25">
      <c r="A47" s="1" t="s">
        <v>1230</v>
      </c>
      <c r="B47" s="1" t="str">
        <f t="shared" si="0"/>
        <v>Single-Family Homes
Multifamily Home Properties</v>
      </c>
      <c r="C47" s="1" t="s">
        <v>1419</v>
      </c>
      <c r="D47" s="1" t="s">
        <v>1420</v>
      </c>
    </row>
    <row r="48" spans="1:4" ht="30" x14ac:dyDescent="0.25">
      <c r="A48" s="1" t="s">
        <v>199</v>
      </c>
      <c r="B48" s="1" t="str">
        <f t="shared" si="0"/>
        <v>Single-Family Homes
Multifamily Home Properties</v>
      </c>
      <c r="C48" s="1" t="s">
        <v>1419</v>
      </c>
      <c r="D48" s="1" t="s">
        <v>1420</v>
      </c>
    </row>
    <row r="49" spans="1:4" ht="30" x14ac:dyDescent="0.25">
      <c r="A49" s="1" t="s">
        <v>865</v>
      </c>
      <c r="B49" s="1" t="str">
        <f t="shared" si="0"/>
        <v>Single-Family Homes
Multifamily Home Properties</v>
      </c>
      <c r="C49" s="1" t="s">
        <v>1419</v>
      </c>
      <c r="D49" s="1" t="s">
        <v>1420</v>
      </c>
    </row>
    <row r="50" spans="1:4" ht="30" x14ac:dyDescent="0.25">
      <c r="A50" s="1" t="s">
        <v>451</v>
      </c>
      <c r="B50" s="1" t="str">
        <f t="shared" si="0"/>
        <v>Single-Family Homes
Multifamily Home Properties</v>
      </c>
      <c r="C50" s="1" t="s">
        <v>1419</v>
      </c>
      <c r="D50" s="1" t="s">
        <v>1420</v>
      </c>
    </row>
    <row r="51" spans="1:4" ht="30" x14ac:dyDescent="0.25">
      <c r="A51" s="1" t="s">
        <v>374</v>
      </c>
      <c r="B51" s="1" t="str">
        <f t="shared" si="0"/>
        <v>Single-Family Homes
Multifamily Home Properties</v>
      </c>
      <c r="C51" s="1" t="s">
        <v>1419</v>
      </c>
      <c r="D51" s="1" t="s">
        <v>1420</v>
      </c>
    </row>
    <row r="52" spans="1:4" x14ac:dyDescent="0.25">
      <c r="A52" s="1" t="s">
        <v>397</v>
      </c>
      <c r="B52" s="1" t="str">
        <f t="shared" si="0"/>
        <v>Single-Family Homes</v>
      </c>
      <c r="C52" s="1" t="s">
        <v>1419</v>
      </c>
    </row>
    <row r="53" spans="1:4" x14ac:dyDescent="0.25">
      <c r="A53" s="1" t="s">
        <v>351</v>
      </c>
      <c r="B53" s="1" t="str">
        <f t="shared" si="0"/>
        <v>No Reply</v>
      </c>
      <c r="C53" s="1" t="s">
        <v>1213</v>
      </c>
    </row>
    <row r="54" spans="1:4" x14ac:dyDescent="0.25">
      <c r="A54" s="1" t="s">
        <v>388</v>
      </c>
      <c r="B54" s="1" t="str">
        <f t="shared" si="0"/>
        <v>Single-Family Homes</v>
      </c>
      <c r="C54" s="1" t="s">
        <v>1419</v>
      </c>
    </row>
    <row r="55" spans="1:4" x14ac:dyDescent="0.25">
      <c r="A55" s="1" t="s">
        <v>142</v>
      </c>
      <c r="B55" s="1" t="str">
        <f t="shared" si="0"/>
        <v>No Reply</v>
      </c>
      <c r="C55" s="1" t="s">
        <v>1213</v>
      </c>
    </row>
    <row r="56" spans="1:4" ht="30" x14ac:dyDescent="0.25">
      <c r="A56" s="1" t="s">
        <v>304</v>
      </c>
      <c r="B56" s="1" t="str">
        <f t="shared" si="0"/>
        <v>Single-Family Homes
Multifamily Home Properties</v>
      </c>
      <c r="C56" s="1" t="s">
        <v>1419</v>
      </c>
      <c r="D56" s="1" t="s">
        <v>1420</v>
      </c>
    </row>
    <row r="57" spans="1:4" ht="30" x14ac:dyDescent="0.25">
      <c r="A57" s="1" t="s">
        <v>1215</v>
      </c>
      <c r="B57" s="1" t="str">
        <f t="shared" si="0"/>
        <v>Single-Family Homes</v>
      </c>
      <c r="C57" s="1" t="s">
        <v>1419</v>
      </c>
    </row>
    <row r="58" spans="1:4" x14ac:dyDescent="0.25">
      <c r="A58" s="1" t="s">
        <v>529</v>
      </c>
      <c r="B58" s="1" t="str">
        <f t="shared" si="0"/>
        <v>Single-Family Homes</v>
      </c>
      <c r="C58" s="1" t="s">
        <v>1419</v>
      </c>
    </row>
    <row r="59" spans="1:4" x14ac:dyDescent="0.25">
      <c r="A59" s="1" t="s">
        <v>911</v>
      </c>
      <c r="B59" s="1" t="str">
        <f t="shared" si="0"/>
        <v>Single-Family Homes</v>
      </c>
      <c r="C59" s="1" t="s">
        <v>1419</v>
      </c>
    </row>
    <row r="60" spans="1:4" x14ac:dyDescent="0.25">
      <c r="A60" s="1" t="s">
        <v>850</v>
      </c>
      <c r="B60" s="1" t="str">
        <f t="shared" si="0"/>
        <v>Single-Family Homes</v>
      </c>
      <c r="C60" s="1" t="s">
        <v>1419</v>
      </c>
    </row>
    <row r="61" spans="1:4" ht="30" x14ac:dyDescent="0.25">
      <c r="A61" s="1" t="s">
        <v>938</v>
      </c>
      <c r="B61" s="1" t="str">
        <f t="shared" si="0"/>
        <v>Single-Family Homes
Multifamily Home Properties</v>
      </c>
      <c r="C61" s="1" t="s">
        <v>1419</v>
      </c>
      <c r="D61" s="1" t="s">
        <v>1420</v>
      </c>
    </row>
    <row r="62" spans="1:4" ht="30" x14ac:dyDescent="0.25">
      <c r="A62" s="1" t="s">
        <v>321</v>
      </c>
      <c r="B62" s="1" t="str">
        <f t="shared" si="0"/>
        <v>Single-Family Homes
Multifamily Home Properties</v>
      </c>
      <c r="C62" s="1" t="s">
        <v>1419</v>
      </c>
      <c r="D62" s="1" t="s">
        <v>1420</v>
      </c>
    </row>
    <row r="63" spans="1:4" ht="30" x14ac:dyDescent="0.25">
      <c r="A63" s="1" t="s">
        <v>148</v>
      </c>
      <c r="B63" s="1" t="str">
        <f t="shared" si="0"/>
        <v>Single-Family Homes
Multifamily Home Properties</v>
      </c>
      <c r="C63" s="1" t="s">
        <v>1419</v>
      </c>
      <c r="D63" s="1" t="s">
        <v>1420</v>
      </c>
    </row>
    <row r="64" spans="1:4" ht="30" x14ac:dyDescent="0.25">
      <c r="A64" s="1" t="s">
        <v>888</v>
      </c>
      <c r="B64" s="1" t="str">
        <f t="shared" si="0"/>
        <v>Single-Family Homes
Multifamily Home Properties</v>
      </c>
      <c r="C64" s="1" t="s">
        <v>1419</v>
      </c>
      <c r="D64" s="1" t="s">
        <v>1420</v>
      </c>
    </row>
    <row r="65" spans="1:4" x14ac:dyDescent="0.25">
      <c r="A65" s="1" t="s">
        <v>67</v>
      </c>
      <c r="B65" s="1" t="str">
        <f t="shared" si="0"/>
        <v>No Reply</v>
      </c>
      <c r="C65" s="1" t="s">
        <v>1213</v>
      </c>
    </row>
    <row r="66" spans="1:4" ht="30" x14ac:dyDescent="0.25">
      <c r="A66" s="1" t="s">
        <v>258</v>
      </c>
      <c r="B66" s="1" t="str">
        <f t="shared" si="0"/>
        <v>Single-Family Homes
Multifamily Home Properties</v>
      </c>
      <c r="C66" s="1" t="s">
        <v>1419</v>
      </c>
      <c r="D66" s="1" t="s">
        <v>1420</v>
      </c>
    </row>
    <row r="67" spans="1:4" x14ac:dyDescent="0.25">
      <c r="A67" s="1" t="s">
        <v>914</v>
      </c>
      <c r="B67" s="1" t="str">
        <f t="shared" si="0"/>
        <v>Single-Family Homes</v>
      </c>
      <c r="C67" s="1" t="s">
        <v>1419</v>
      </c>
    </row>
    <row r="68" spans="1:4" ht="30" x14ac:dyDescent="0.25">
      <c r="A68" s="1" t="s">
        <v>917</v>
      </c>
      <c r="B68" s="1" t="str">
        <f t="shared" ref="B68:B131" si="1">_xlfn.TEXTJOIN(CHAR(10),TRUE,C68:D68)</f>
        <v>Single-Family Homes
Multifamily Home Properties</v>
      </c>
      <c r="C68" s="1" t="s">
        <v>1419</v>
      </c>
      <c r="D68" s="1" t="s">
        <v>1420</v>
      </c>
    </row>
    <row r="69" spans="1:4" ht="30" x14ac:dyDescent="0.25">
      <c r="A69" s="1" t="s">
        <v>391</v>
      </c>
      <c r="B69" s="1" t="str">
        <f t="shared" si="1"/>
        <v>Multifamily Home Properties</v>
      </c>
      <c r="D69" s="1" t="s">
        <v>1420</v>
      </c>
    </row>
    <row r="70" spans="1:4" x14ac:dyDescent="0.25">
      <c r="A70" s="1" t="s">
        <v>190</v>
      </c>
      <c r="B70" s="1" t="str">
        <f t="shared" si="1"/>
        <v>Single-Family Homes</v>
      </c>
      <c r="C70" s="1" t="s">
        <v>1419</v>
      </c>
    </row>
    <row r="71" spans="1:4" ht="30" x14ac:dyDescent="0.25">
      <c r="A71" s="1" t="s">
        <v>872</v>
      </c>
      <c r="B71" s="1" t="str">
        <f t="shared" si="1"/>
        <v>Single-Family Homes
Multifamily Home Properties</v>
      </c>
      <c r="C71" s="1" t="s">
        <v>1419</v>
      </c>
      <c r="D71" s="1" t="s">
        <v>1420</v>
      </c>
    </row>
    <row r="72" spans="1:4" x14ac:dyDescent="0.25">
      <c r="A72" s="1" t="s">
        <v>878</v>
      </c>
      <c r="B72" s="1" t="str">
        <f t="shared" si="1"/>
        <v>Single-Family Homes</v>
      </c>
      <c r="C72" s="1" t="s">
        <v>1419</v>
      </c>
    </row>
    <row r="73" spans="1:4" ht="30" x14ac:dyDescent="0.25">
      <c r="A73" s="1" t="s">
        <v>153</v>
      </c>
      <c r="B73" s="1" t="str">
        <f t="shared" si="1"/>
        <v>Single-Family Homes
Multifamily Home Properties</v>
      </c>
      <c r="C73" s="1" t="s">
        <v>1419</v>
      </c>
      <c r="D73" s="1" t="s">
        <v>1420</v>
      </c>
    </row>
    <row r="74" spans="1:4" x14ac:dyDescent="0.25">
      <c r="A74" s="1" t="s">
        <v>330</v>
      </c>
      <c r="B74" s="1" t="str">
        <f t="shared" si="1"/>
        <v>No Reply</v>
      </c>
      <c r="C74" s="1" t="s">
        <v>1213</v>
      </c>
    </row>
    <row r="75" spans="1:4" ht="30" x14ac:dyDescent="0.25">
      <c r="A75" s="1" t="s">
        <v>532</v>
      </c>
      <c r="B75" s="1" t="str">
        <f t="shared" si="1"/>
        <v>Multifamily Home Properties</v>
      </c>
      <c r="D75" s="1" t="s">
        <v>1420</v>
      </c>
    </row>
    <row r="76" spans="1:4" x14ac:dyDescent="0.25">
      <c r="A76" s="1" t="s">
        <v>280</v>
      </c>
      <c r="B76" s="1" t="str">
        <f t="shared" si="1"/>
        <v>No Reply</v>
      </c>
      <c r="C76" s="1" t="s">
        <v>1213</v>
      </c>
    </row>
    <row r="77" spans="1:4" ht="30" x14ac:dyDescent="0.25">
      <c r="A77" s="1" t="s">
        <v>211</v>
      </c>
      <c r="B77" s="1" t="str">
        <f t="shared" si="1"/>
        <v>Single-Family Homes
Multifamily Home Properties</v>
      </c>
      <c r="C77" s="1" t="s">
        <v>1419</v>
      </c>
      <c r="D77" s="1" t="s">
        <v>1420</v>
      </c>
    </row>
    <row r="78" spans="1:4" x14ac:dyDescent="0.25">
      <c r="A78" s="1" t="s">
        <v>896</v>
      </c>
      <c r="B78" s="1" t="str">
        <f t="shared" si="1"/>
        <v>Single-Family Homes</v>
      </c>
      <c r="C78" s="1" t="s">
        <v>1419</v>
      </c>
    </row>
    <row r="79" spans="1:4" ht="30" x14ac:dyDescent="0.25">
      <c r="A79" s="1" t="s">
        <v>853</v>
      </c>
      <c r="B79" s="1" t="str">
        <f t="shared" si="1"/>
        <v>Single-Family Homes
Multifamily Home Properties</v>
      </c>
      <c r="C79" s="1" t="s">
        <v>1419</v>
      </c>
      <c r="D79" s="1" t="s">
        <v>1420</v>
      </c>
    </row>
    <row r="80" spans="1:4" x14ac:dyDescent="0.25">
      <c r="A80" s="1" t="s">
        <v>1216</v>
      </c>
      <c r="B80" s="1" t="str">
        <f t="shared" si="1"/>
        <v>No Reply</v>
      </c>
      <c r="C80" s="1" t="s">
        <v>1213</v>
      </c>
    </row>
    <row r="81" spans="1:4" x14ac:dyDescent="0.25">
      <c r="A81" s="1" t="s">
        <v>537</v>
      </c>
      <c r="B81" s="1" t="str">
        <f t="shared" si="1"/>
        <v>No Reply</v>
      </c>
      <c r="C81" s="1" t="s">
        <v>1213</v>
      </c>
    </row>
    <row r="82" spans="1:4" x14ac:dyDescent="0.25">
      <c r="A82" s="1" t="s">
        <v>526</v>
      </c>
      <c r="B82" s="1" t="str">
        <f t="shared" si="1"/>
        <v>Single-Family Homes</v>
      </c>
      <c r="C82" s="1" t="s">
        <v>1419</v>
      </c>
    </row>
    <row r="83" spans="1:4" ht="30" x14ac:dyDescent="0.25">
      <c r="A83" s="1" t="s">
        <v>275</v>
      </c>
      <c r="B83" s="1" t="str">
        <f t="shared" si="1"/>
        <v>Single-Family Homes
Multifamily Home Properties</v>
      </c>
      <c r="C83" s="1" t="s">
        <v>1419</v>
      </c>
      <c r="D83" s="1" t="s">
        <v>1420</v>
      </c>
    </row>
    <row r="84" spans="1:4" x14ac:dyDescent="0.25">
      <c r="A84" s="9" t="s">
        <v>253</v>
      </c>
      <c r="B84" s="1" t="str">
        <f t="shared" si="1"/>
        <v>No Reply</v>
      </c>
      <c r="C84" s="9" t="s">
        <v>1213</v>
      </c>
      <c r="D84" s="9"/>
    </row>
    <row r="85" spans="1:4" x14ac:dyDescent="0.25">
      <c r="A85" s="1" t="s">
        <v>327</v>
      </c>
      <c r="B85" s="1" t="str">
        <f t="shared" si="1"/>
        <v>No Reply</v>
      </c>
      <c r="C85" s="1" t="s">
        <v>1213</v>
      </c>
    </row>
    <row r="86" spans="1:4" ht="30" x14ac:dyDescent="0.25">
      <c r="A86" s="1" t="s">
        <v>929</v>
      </c>
      <c r="B86" s="1" t="str">
        <f t="shared" si="1"/>
        <v>Multifamily Home Properties</v>
      </c>
      <c r="D86" s="1" t="s">
        <v>1420</v>
      </c>
    </row>
    <row r="87" spans="1:4" ht="30" x14ac:dyDescent="0.25">
      <c r="A87" s="1" t="s">
        <v>876</v>
      </c>
      <c r="B87" s="1" t="str">
        <f t="shared" si="1"/>
        <v>Single-Family Homes
Multifamily Home Properties</v>
      </c>
      <c r="C87" s="1" t="s">
        <v>1419</v>
      </c>
      <c r="D87" s="1" t="s">
        <v>1420</v>
      </c>
    </row>
    <row r="88" spans="1:4" ht="30" x14ac:dyDescent="0.25">
      <c r="A88" s="1" t="s">
        <v>323</v>
      </c>
      <c r="B88" s="1" t="str">
        <f t="shared" si="1"/>
        <v>Single-Family Homes
Multifamily Home Properties</v>
      </c>
      <c r="C88" s="1" t="s">
        <v>1419</v>
      </c>
      <c r="D88" s="1" t="s">
        <v>1420</v>
      </c>
    </row>
    <row r="89" spans="1:4" ht="30" x14ac:dyDescent="0.25">
      <c r="A89" s="1" t="s">
        <v>930</v>
      </c>
      <c r="B89" s="1" t="str">
        <f t="shared" si="1"/>
        <v>Single-Family Homes
Multifamily Home Properties</v>
      </c>
      <c r="C89" s="1" t="s">
        <v>1419</v>
      </c>
      <c r="D89" s="1" t="s">
        <v>1420</v>
      </c>
    </row>
    <row r="90" spans="1:4" x14ac:dyDescent="0.25">
      <c r="A90" s="1" t="s">
        <v>417</v>
      </c>
      <c r="B90" s="1" t="str">
        <f t="shared" si="1"/>
        <v>No Reply</v>
      </c>
      <c r="C90" s="1" t="s">
        <v>1213</v>
      </c>
    </row>
    <row r="91" spans="1:4" ht="30" x14ac:dyDescent="0.25">
      <c r="A91" s="1" t="s">
        <v>519</v>
      </c>
      <c r="B91" s="1" t="str">
        <f t="shared" si="1"/>
        <v>Single-Family Homes
Multifamily Home Properties</v>
      </c>
      <c r="C91" s="1" t="s">
        <v>1419</v>
      </c>
      <c r="D91" s="1" t="s">
        <v>1420</v>
      </c>
    </row>
    <row r="92" spans="1:4" ht="30" x14ac:dyDescent="0.25">
      <c r="A92" s="1" t="s">
        <v>487</v>
      </c>
      <c r="B92" s="1" t="str">
        <f t="shared" si="1"/>
        <v>Single-Family Homes
Multifamily Home Properties</v>
      </c>
      <c r="C92" s="1" t="s">
        <v>1419</v>
      </c>
      <c r="D92" s="1" t="s">
        <v>1420</v>
      </c>
    </row>
    <row r="93" spans="1:4" x14ac:dyDescent="0.25">
      <c r="A93" s="1" t="s">
        <v>307</v>
      </c>
      <c r="B93" s="1" t="str">
        <f t="shared" si="1"/>
        <v>Single-Family Homes</v>
      </c>
      <c r="C93" s="1" t="s">
        <v>1419</v>
      </c>
    </row>
    <row r="94" spans="1:4" ht="30" x14ac:dyDescent="0.25">
      <c r="A94" s="1" t="s">
        <v>296</v>
      </c>
      <c r="B94" s="1" t="str">
        <f t="shared" si="1"/>
        <v>Single-Family Homes
Multifamily Home Properties</v>
      </c>
      <c r="C94" s="1" t="s">
        <v>1419</v>
      </c>
      <c r="D94" s="1" t="s">
        <v>1420</v>
      </c>
    </row>
    <row r="95" spans="1:4" ht="30" x14ac:dyDescent="0.25">
      <c r="A95" s="1" t="s">
        <v>945</v>
      </c>
      <c r="B95" s="1" t="str">
        <f t="shared" si="1"/>
        <v>Single-Family Homes
Multifamily Home Properties</v>
      </c>
      <c r="C95" s="1" t="s">
        <v>1419</v>
      </c>
      <c r="D95" s="1" t="s">
        <v>1420</v>
      </c>
    </row>
    <row r="96" spans="1:4" ht="30" x14ac:dyDescent="0.25">
      <c r="A96" s="1" t="s">
        <v>261</v>
      </c>
      <c r="B96" s="1" t="str">
        <f t="shared" si="1"/>
        <v>Single-Family Homes
Multifamily Home Properties</v>
      </c>
      <c r="C96" s="1" t="s">
        <v>1419</v>
      </c>
      <c r="D96" s="1" t="s">
        <v>1420</v>
      </c>
    </row>
    <row r="97" spans="1:4" ht="30" x14ac:dyDescent="0.25">
      <c r="A97" s="1" t="s">
        <v>892</v>
      </c>
      <c r="B97" s="1" t="str">
        <f t="shared" si="1"/>
        <v>Multifamily Home Properties</v>
      </c>
      <c r="D97" s="1" t="s">
        <v>1420</v>
      </c>
    </row>
    <row r="98" spans="1:4" ht="30" x14ac:dyDescent="0.25">
      <c r="A98" s="1" t="s">
        <v>494</v>
      </c>
      <c r="B98" s="1" t="str">
        <f t="shared" si="1"/>
        <v>Single-Family Homes
Multifamily Home Properties</v>
      </c>
      <c r="C98" s="1" t="s">
        <v>1419</v>
      </c>
      <c r="D98" s="1" t="s">
        <v>1420</v>
      </c>
    </row>
    <row r="99" spans="1:4" ht="30" x14ac:dyDescent="0.25">
      <c r="A99" s="1" t="s">
        <v>99</v>
      </c>
      <c r="B99" s="1" t="str">
        <f t="shared" si="1"/>
        <v>Single-Family Homes
Multifamily Home Properties</v>
      </c>
      <c r="C99" s="1" t="s">
        <v>1419</v>
      </c>
      <c r="D99" s="1" t="s">
        <v>1420</v>
      </c>
    </row>
    <row r="100" spans="1:4" ht="30" x14ac:dyDescent="0.25">
      <c r="A100" s="1" t="s">
        <v>852</v>
      </c>
      <c r="B100" s="1" t="str">
        <f t="shared" si="1"/>
        <v>Multifamily Home Properties</v>
      </c>
      <c r="D100" s="1" t="s">
        <v>1420</v>
      </c>
    </row>
    <row r="101" spans="1:4" ht="30" x14ac:dyDescent="0.25">
      <c r="A101" s="1" t="s">
        <v>167</v>
      </c>
      <c r="B101" s="1" t="str">
        <f t="shared" si="1"/>
        <v>Single-Family Homes
Multifamily Home Properties</v>
      </c>
      <c r="C101" s="1" t="s">
        <v>1419</v>
      </c>
      <c r="D101" s="1" t="s">
        <v>1420</v>
      </c>
    </row>
    <row r="102" spans="1:4" ht="30" x14ac:dyDescent="0.25">
      <c r="A102" s="1" t="s">
        <v>859</v>
      </c>
      <c r="B102" s="1" t="str">
        <f t="shared" si="1"/>
        <v>Single-Family Homes
Multifamily Home Properties</v>
      </c>
      <c r="C102" s="1" t="s">
        <v>1419</v>
      </c>
      <c r="D102" s="1" t="s">
        <v>1420</v>
      </c>
    </row>
    <row r="103" spans="1:4" ht="30" x14ac:dyDescent="0.25">
      <c r="A103" s="1" t="s">
        <v>873</v>
      </c>
      <c r="B103" s="1" t="str">
        <f t="shared" si="1"/>
        <v>Multifamily Home Properties</v>
      </c>
      <c r="D103" s="1" t="s">
        <v>1420</v>
      </c>
    </row>
    <row r="104" spans="1:4" ht="30" x14ac:dyDescent="0.25">
      <c r="A104" s="1" t="s">
        <v>946</v>
      </c>
      <c r="B104" s="1" t="str">
        <f t="shared" si="1"/>
        <v>Single-Family Homes
Multifamily Home Properties</v>
      </c>
      <c r="C104" s="1" t="s">
        <v>1419</v>
      </c>
      <c r="D104" s="1" t="s">
        <v>1420</v>
      </c>
    </row>
    <row r="105" spans="1:4" ht="30" x14ac:dyDescent="0.25">
      <c r="A105" s="1" t="s">
        <v>485</v>
      </c>
      <c r="B105" s="1" t="str">
        <f t="shared" si="1"/>
        <v>Single-Family Homes
Multifamily Home Properties</v>
      </c>
      <c r="C105" s="1" t="s">
        <v>1419</v>
      </c>
      <c r="D105" s="1" t="s">
        <v>1420</v>
      </c>
    </row>
    <row r="106" spans="1:4" ht="30" x14ac:dyDescent="0.25">
      <c r="A106" s="1" t="s">
        <v>115</v>
      </c>
      <c r="B106" s="1" t="str">
        <f t="shared" si="1"/>
        <v>Single-Family Homes
Multifamily Home Properties</v>
      </c>
      <c r="C106" s="1" t="s">
        <v>1419</v>
      </c>
      <c r="D106" s="1" t="s">
        <v>1420</v>
      </c>
    </row>
    <row r="107" spans="1:4" x14ac:dyDescent="0.25">
      <c r="A107" s="1" t="s">
        <v>920</v>
      </c>
      <c r="B107" s="1" t="str">
        <f t="shared" si="1"/>
        <v>No Reply</v>
      </c>
      <c r="C107" s="1" t="s">
        <v>1213</v>
      </c>
    </row>
    <row r="108" spans="1:4" ht="30" x14ac:dyDescent="0.25">
      <c r="A108" s="1" t="s">
        <v>916</v>
      </c>
      <c r="B108" s="1" t="str">
        <f t="shared" si="1"/>
        <v>Single-Family Homes
Multifamily Home Properties</v>
      </c>
      <c r="C108" s="1" t="s">
        <v>1419</v>
      </c>
      <c r="D108" s="1" t="s">
        <v>1420</v>
      </c>
    </row>
    <row r="109" spans="1:4" ht="30" x14ac:dyDescent="0.25">
      <c r="A109" s="1" t="s">
        <v>134</v>
      </c>
      <c r="B109" s="1" t="str">
        <f t="shared" si="1"/>
        <v>Single-Family Homes
Multifamily Home Properties</v>
      </c>
      <c r="C109" s="1" t="s">
        <v>1419</v>
      </c>
      <c r="D109" s="1" t="s">
        <v>1420</v>
      </c>
    </row>
    <row r="110" spans="1:4" ht="30" x14ac:dyDescent="0.25">
      <c r="A110" s="1" t="s">
        <v>875</v>
      </c>
      <c r="B110" s="1" t="str">
        <f t="shared" si="1"/>
        <v>Single-Family Homes
Multifamily Home Properties</v>
      </c>
      <c r="C110" s="1" t="s">
        <v>1419</v>
      </c>
      <c r="D110" s="1" t="s">
        <v>1420</v>
      </c>
    </row>
    <row r="111" spans="1:4" x14ac:dyDescent="0.25">
      <c r="A111" s="1" t="s">
        <v>37</v>
      </c>
      <c r="B111" s="1" t="str">
        <f t="shared" si="1"/>
        <v>Single-Family Homes</v>
      </c>
      <c r="C111" s="1" t="s">
        <v>1419</v>
      </c>
    </row>
    <row r="112" spans="1:4" x14ac:dyDescent="0.25">
      <c r="A112" s="1" t="s">
        <v>220</v>
      </c>
      <c r="B112" s="1" t="str">
        <f t="shared" si="1"/>
        <v>No Reply</v>
      </c>
      <c r="C112" s="1" t="s">
        <v>1213</v>
      </c>
    </row>
    <row r="113" spans="1:4" x14ac:dyDescent="0.25">
      <c r="A113" s="1" t="s">
        <v>858</v>
      </c>
      <c r="B113" s="1" t="str">
        <f t="shared" si="1"/>
        <v>Single-Family Homes</v>
      </c>
      <c r="C113" s="1" t="s">
        <v>1419</v>
      </c>
    </row>
    <row r="114" spans="1:4" x14ac:dyDescent="0.25">
      <c r="A114" s="1" t="s">
        <v>272</v>
      </c>
      <c r="B114" s="1" t="str">
        <f t="shared" si="1"/>
        <v>Single-Family Homes</v>
      </c>
      <c r="C114" s="1" t="s">
        <v>1419</v>
      </c>
    </row>
    <row r="115" spans="1:4" ht="30" x14ac:dyDescent="0.25">
      <c r="A115" s="1" t="s">
        <v>52</v>
      </c>
      <c r="B115" s="1" t="str">
        <f t="shared" si="1"/>
        <v>Single-Family Homes
Multifamily Home Properties</v>
      </c>
      <c r="C115" s="1" t="s">
        <v>1419</v>
      </c>
      <c r="D115" s="1" t="s">
        <v>1420</v>
      </c>
    </row>
    <row r="116" spans="1:4" ht="30" x14ac:dyDescent="0.25">
      <c r="A116" s="1" t="s">
        <v>428</v>
      </c>
      <c r="B116" s="1" t="str">
        <f t="shared" si="1"/>
        <v>Single-Family Homes
Multifamily Home Properties</v>
      </c>
      <c r="C116" s="1" t="s">
        <v>1419</v>
      </c>
      <c r="D116" s="1" t="s">
        <v>1420</v>
      </c>
    </row>
    <row r="117" spans="1:4" ht="30" x14ac:dyDescent="0.25">
      <c r="A117" s="1" t="s">
        <v>179</v>
      </c>
      <c r="B117" s="1" t="str">
        <f t="shared" si="1"/>
        <v>Single-Family Homes
Multifamily Home Properties</v>
      </c>
      <c r="C117" s="1" t="s">
        <v>1419</v>
      </c>
      <c r="D117" s="1" t="s">
        <v>1420</v>
      </c>
    </row>
    <row r="118" spans="1:4" x14ac:dyDescent="0.25">
      <c r="A118" s="1" t="s">
        <v>868</v>
      </c>
      <c r="B118" s="1" t="str">
        <f t="shared" si="1"/>
        <v>Single-Family Homes</v>
      </c>
      <c r="C118" s="1" t="s">
        <v>1419</v>
      </c>
    </row>
    <row r="119" spans="1:4" ht="30" x14ac:dyDescent="0.25">
      <c r="A119" s="1" t="s">
        <v>234</v>
      </c>
      <c r="B119" s="1" t="str">
        <f t="shared" si="1"/>
        <v>Single-Family Homes</v>
      </c>
      <c r="C119" s="1" t="s">
        <v>1419</v>
      </c>
    </row>
    <row r="120" spans="1:4" x14ac:dyDescent="0.25">
      <c r="A120" s="1" t="s">
        <v>867</v>
      </c>
      <c r="B120" s="1" t="str">
        <f t="shared" si="1"/>
        <v>Single-Family Homes</v>
      </c>
      <c r="C120" s="1" t="s">
        <v>1419</v>
      </c>
    </row>
    <row r="121" spans="1:4" ht="30" x14ac:dyDescent="0.25">
      <c r="A121" s="1" t="s">
        <v>879</v>
      </c>
      <c r="B121" s="1" t="str">
        <f t="shared" si="1"/>
        <v>Single-Family Homes
Multifamily Home Properties</v>
      </c>
      <c r="C121" s="1" t="s">
        <v>1419</v>
      </c>
      <c r="D121" s="1" t="s">
        <v>1420</v>
      </c>
    </row>
    <row r="122" spans="1:4" ht="30" x14ac:dyDescent="0.25">
      <c r="A122" s="1" t="s">
        <v>908</v>
      </c>
      <c r="B122" s="1" t="str">
        <f t="shared" si="1"/>
        <v>Single-Family Homes
Multifamily Home Properties</v>
      </c>
      <c r="C122" s="1" t="s">
        <v>1419</v>
      </c>
      <c r="D122" s="1" t="s">
        <v>1420</v>
      </c>
    </row>
    <row r="123" spans="1:4" ht="30" x14ac:dyDescent="0.25">
      <c r="A123" s="1" t="s">
        <v>75</v>
      </c>
      <c r="B123" s="1" t="str">
        <f t="shared" si="1"/>
        <v>Single-Family Homes
Multifamily Home Properties</v>
      </c>
      <c r="C123" s="1" t="s">
        <v>1419</v>
      </c>
      <c r="D123" s="1" t="s">
        <v>1420</v>
      </c>
    </row>
    <row r="124" spans="1:4" ht="30" x14ac:dyDescent="0.25">
      <c r="A124" s="1" t="s">
        <v>41</v>
      </c>
      <c r="B124" s="1" t="str">
        <f t="shared" si="1"/>
        <v>Single-Family Homes
Multifamily Home Properties</v>
      </c>
      <c r="C124" s="1" t="s">
        <v>1419</v>
      </c>
      <c r="D124" s="1" t="s">
        <v>1420</v>
      </c>
    </row>
    <row r="125" spans="1:4" x14ac:dyDescent="0.25">
      <c r="A125" s="1" t="s">
        <v>267</v>
      </c>
      <c r="B125" s="1" t="str">
        <f t="shared" si="1"/>
        <v>Single-Family Homes</v>
      </c>
      <c r="C125" s="1" t="s">
        <v>1419</v>
      </c>
    </row>
    <row r="126" spans="1:4" x14ac:dyDescent="0.25">
      <c r="A126" s="1" t="s">
        <v>109</v>
      </c>
      <c r="B126" s="1" t="str">
        <f t="shared" si="1"/>
        <v>Single-Family Homes</v>
      </c>
      <c r="C126" s="1" t="s">
        <v>1419</v>
      </c>
    </row>
    <row r="127" spans="1:4" ht="30" x14ac:dyDescent="0.25">
      <c r="A127" s="1" t="s">
        <v>895</v>
      </c>
      <c r="B127" s="1" t="str">
        <f t="shared" si="1"/>
        <v>Single-Family Homes
Multifamily Home Properties</v>
      </c>
      <c r="C127" s="1" t="s">
        <v>1419</v>
      </c>
      <c r="D127" s="1" t="s">
        <v>1420</v>
      </c>
    </row>
    <row r="128" spans="1:4" ht="30" x14ac:dyDescent="0.25">
      <c r="A128" s="1" t="s">
        <v>932</v>
      </c>
      <c r="B128" s="1" t="str">
        <f t="shared" si="1"/>
        <v>Single-Family Homes
Multifamily Home Properties</v>
      </c>
      <c r="C128" s="1" t="s">
        <v>1419</v>
      </c>
      <c r="D128" s="1" t="s">
        <v>1420</v>
      </c>
    </row>
    <row r="129" spans="1:4" ht="30" x14ac:dyDescent="0.25">
      <c r="A129" s="1" t="s">
        <v>889</v>
      </c>
      <c r="B129" s="1" t="str">
        <f t="shared" si="1"/>
        <v>Single-Family Homes
Multifamily Home Properties</v>
      </c>
      <c r="C129" s="1" t="s">
        <v>1419</v>
      </c>
      <c r="D129" s="1" t="s">
        <v>1420</v>
      </c>
    </row>
    <row r="130" spans="1:4" ht="30" x14ac:dyDescent="0.25">
      <c r="A130" s="1" t="s">
        <v>125</v>
      </c>
      <c r="B130" s="1" t="str">
        <f t="shared" si="1"/>
        <v>Single-Family Homes
Multifamily Home Properties</v>
      </c>
      <c r="C130" s="1" t="s">
        <v>1419</v>
      </c>
      <c r="D130" s="1" t="s">
        <v>1420</v>
      </c>
    </row>
    <row r="131" spans="1:4" ht="30" x14ac:dyDescent="0.25">
      <c r="A131" s="1" t="s">
        <v>595</v>
      </c>
      <c r="B131" s="1" t="str">
        <f t="shared" si="1"/>
        <v>Single-Family Homes
Multifamily Home Properties</v>
      </c>
      <c r="C131" s="1" t="s">
        <v>1419</v>
      </c>
      <c r="D131" s="1" t="s">
        <v>1420</v>
      </c>
    </row>
    <row r="132" spans="1:4" x14ac:dyDescent="0.25">
      <c r="A132" s="1" t="s">
        <v>448</v>
      </c>
      <c r="B132" s="1" t="str">
        <f t="shared" ref="B132:B195" si="2">_xlfn.TEXTJOIN(CHAR(10),TRUE,C132:D132)</f>
        <v>No Reply</v>
      </c>
      <c r="C132" s="1" t="s">
        <v>1213</v>
      </c>
    </row>
    <row r="133" spans="1:4" x14ac:dyDescent="0.25">
      <c r="A133" s="1" t="s">
        <v>187</v>
      </c>
      <c r="B133" s="1" t="str">
        <f t="shared" si="2"/>
        <v>No Reply</v>
      </c>
      <c r="C133" s="1" t="s">
        <v>1213</v>
      </c>
    </row>
    <row r="134" spans="1:4" ht="30" x14ac:dyDescent="0.25">
      <c r="A134" s="1" t="s">
        <v>860</v>
      </c>
      <c r="B134" s="1" t="str">
        <f t="shared" si="2"/>
        <v>Single-Family Homes
Multifamily Home Properties</v>
      </c>
      <c r="C134" s="1" t="s">
        <v>1419</v>
      </c>
      <c r="D134" s="1" t="s">
        <v>1420</v>
      </c>
    </row>
    <row r="135" spans="1:4" ht="30" x14ac:dyDescent="0.25">
      <c r="A135" s="1" t="s">
        <v>83</v>
      </c>
      <c r="B135" s="1" t="str">
        <f t="shared" si="2"/>
        <v>Single-Family Homes
Multifamily Home Properties</v>
      </c>
      <c r="C135" s="1" t="s">
        <v>1419</v>
      </c>
      <c r="D135" s="1" t="s">
        <v>1420</v>
      </c>
    </row>
    <row r="136" spans="1:4" x14ac:dyDescent="0.25">
      <c r="A136" s="1" t="s">
        <v>357</v>
      </c>
      <c r="B136" s="1" t="str">
        <f t="shared" si="2"/>
        <v>Single-Family Homes</v>
      </c>
      <c r="C136" s="1" t="s">
        <v>1419</v>
      </c>
    </row>
    <row r="137" spans="1:4" x14ac:dyDescent="0.25">
      <c r="A137" s="1" t="s">
        <v>413</v>
      </c>
      <c r="B137" s="1" t="str">
        <f t="shared" si="2"/>
        <v>No Reply</v>
      </c>
      <c r="C137" s="1" t="s">
        <v>1213</v>
      </c>
    </row>
    <row r="138" spans="1:4" ht="30" x14ac:dyDescent="0.25">
      <c r="A138" s="1" t="s">
        <v>250</v>
      </c>
      <c r="B138" s="1" t="str">
        <f t="shared" si="2"/>
        <v>Single-Family Homes
Multifamily Home Properties</v>
      </c>
      <c r="C138" s="1" t="s">
        <v>1419</v>
      </c>
      <c r="D138" s="1" t="s">
        <v>1420</v>
      </c>
    </row>
    <row r="139" spans="1:4" ht="30" x14ac:dyDescent="0.25">
      <c r="A139" s="1" t="s">
        <v>900</v>
      </c>
      <c r="B139" s="1" t="str">
        <f t="shared" si="2"/>
        <v>Single-Family Homes
Multifamily Home Properties</v>
      </c>
      <c r="C139" s="1" t="s">
        <v>1419</v>
      </c>
      <c r="D139" s="1" t="s">
        <v>1420</v>
      </c>
    </row>
    <row r="140" spans="1:4" ht="30" x14ac:dyDescent="0.25">
      <c r="A140" s="1" t="s">
        <v>136</v>
      </c>
      <c r="B140" s="1" t="str">
        <f t="shared" si="2"/>
        <v>Single-Family Homes
Multifamily Home Properties</v>
      </c>
      <c r="C140" s="1" t="s">
        <v>1419</v>
      </c>
      <c r="D140" s="1" t="s">
        <v>1420</v>
      </c>
    </row>
    <row r="141" spans="1:4" ht="30" x14ac:dyDescent="0.25">
      <c r="A141" s="1" t="s">
        <v>535</v>
      </c>
      <c r="B141" s="1" t="str">
        <f t="shared" si="2"/>
        <v>Multifamily Home Properties</v>
      </c>
      <c r="D141" s="1" t="s">
        <v>1420</v>
      </c>
    </row>
    <row r="142" spans="1:4" ht="30" x14ac:dyDescent="0.25">
      <c r="A142" s="1" t="s">
        <v>951</v>
      </c>
      <c r="B142" s="1" t="str">
        <f t="shared" si="2"/>
        <v>Single-Family Homes
Multifamily Home Properties</v>
      </c>
      <c r="C142" s="1" t="s">
        <v>1419</v>
      </c>
      <c r="D142" s="1" t="s">
        <v>1420</v>
      </c>
    </row>
    <row r="143" spans="1:4" ht="30" x14ac:dyDescent="0.25">
      <c r="A143" s="1" t="s">
        <v>145</v>
      </c>
      <c r="B143" s="1" t="str">
        <f t="shared" si="2"/>
        <v>Single-Family Homes
Multifamily Home Properties</v>
      </c>
      <c r="C143" s="1" t="s">
        <v>1419</v>
      </c>
      <c r="D143" s="1" t="s">
        <v>1420</v>
      </c>
    </row>
    <row r="144" spans="1:4" x14ac:dyDescent="0.25">
      <c r="A144" s="1" t="s">
        <v>948</v>
      </c>
      <c r="B144" s="1" t="str">
        <f t="shared" si="2"/>
        <v>Single-Family Homes</v>
      </c>
      <c r="C144" s="1" t="s">
        <v>1419</v>
      </c>
    </row>
    <row r="145" spans="1:4" x14ac:dyDescent="0.25">
      <c r="A145" s="1" t="s">
        <v>880</v>
      </c>
      <c r="B145" s="1" t="str">
        <f t="shared" si="2"/>
        <v>Single-Family Homes</v>
      </c>
      <c r="C145" s="1" t="s">
        <v>1419</v>
      </c>
    </row>
    <row r="146" spans="1:4" x14ac:dyDescent="0.25">
      <c r="A146" s="1" t="s">
        <v>431</v>
      </c>
      <c r="B146" s="1" t="str">
        <f t="shared" si="2"/>
        <v>Single-Family Homes</v>
      </c>
      <c r="C146" s="1" t="s">
        <v>1419</v>
      </c>
    </row>
    <row r="147" spans="1:4" ht="30" x14ac:dyDescent="0.25">
      <c r="A147" s="1" t="s">
        <v>363</v>
      </c>
      <c r="B147" s="1" t="str">
        <f t="shared" si="2"/>
        <v>Single-Family Homes
Multifamily Home Properties</v>
      </c>
      <c r="C147" s="1" t="s">
        <v>1419</v>
      </c>
      <c r="D147" s="1" t="s">
        <v>1420</v>
      </c>
    </row>
    <row r="148" spans="1:4" ht="30" x14ac:dyDescent="0.25">
      <c r="A148" s="1" t="s">
        <v>468</v>
      </c>
      <c r="B148" s="1" t="str">
        <f t="shared" si="2"/>
        <v>Single-Family Homes
Multifamily Home Properties</v>
      </c>
      <c r="C148" s="1" t="s">
        <v>1419</v>
      </c>
      <c r="D148" s="1" t="s">
        <v>1420</v>
      </c>
    </row>
    <row r="149" spans="1:4" x14ac:dyDescent="0.25">
      <c r="A149" s="1" t="s">
        <v>935</v>
      </c>
      <c r="B149" s="1" t="str">
        <f t="shared" si="2"/>
        <v>Single-Family Homes</v>
      </c>
      <c r="C149" s="1" t="s">
        <v>1419</v>
      </c>
    </row>
    <row r="150" spans="1:4" ht="30" x14ac:dyDescent="0.25">
      <c r="A150" s="1" t="s">
        <v>1036</v>
      </c>
      <c r="B150" s="1" t="str">
        <f t="shared" si="2"/>
        <v>Single-Family Homes
Multifamily Home Properties</v>
      </c>
      <c r="C150" s="1" t="s">
        <v>1419</v>
      </c>
      <c r="D150" s="1" t="s">
        <v>1420</v>
      </c>
    </row>
    <row r="151" spans="1:4" ht="30" x14ac:dyDescent="0.25">
      <c r="A151" s="1" t="s">
        <v>264</v>
      </c>
      <c r="B151" s="1" t="str">
        <f t="shared" si="2"/>
        <v>Single-Family Homes
Multifamily Home Properties</v>
      </c>
      <c r="C151" s="1" t="s">
        <v>1419</v>
      </c>
      <c r="D151" s="1" t="s">
        <v>1420</v>
      </c>
    </row>
    <row r="152" spans="1:4" ht="30" x14ac:dyDescent="0.25">
      <c r="A152" s="1" t="s">
        <v>286</v>
      </c>
      <c r="B152" s="1" t="str">
        <f t="shared" si="2"/>
        <v>Single-Family Homes
Multifamily Home Properties</v>
      </c>
      <c r="C152" s="1" t="s">
        <v>1419</v>
      </c>
      <c r="D152" s="1" t="s">
        <v>1420</v>
      </c>
    </row>
    <row r="153" spans="1:4" x14ac:dyDescent="0.25">
      <c r="A153" s="1" t="s">
        <v>983</v>
      </c>
      <c r="B153" s="1" t="str">
        <f t="shared" si="2"/>
        <v>Single-Family Homes</v>
      </c>
      <c r="C153" s="1" t="s">
        <v>1419</v>
      </c>
    </row>
    <row r="154" spans="1:4" ht="30" x14ac:dyDescent="0.25">
      <c r="A154" s="1" t="s">
        <v>903</v>
      </c>
      <c r="B154" s="1" t="str">
        <f t="shared" si="2"/>
        <v>Multifamily Home Properties</v>
      </c>
      <c r="D154" s="1" t="s">
        <v>1420</v>
      </c>
    </row>
    <row r="155" spans="1:4" x14ac:dyDescent="0.25">
      <c r="A155" s="1" t="s">
        <v>559</v>
      </c>
      <c r="B155" s="1" t="str">
        <f t="shared" si="2"/>
        <v>No Reply</v>
      </c>
      <c r="C155" s="1" t="s">
        <v>1213</v>
      </c>
    </row>
    <row r="156" spans="1:4" x14ac:dyDescent="0.25">
      <c r="A156" s="1" t="s">
        <v>156</v>
      </c>
      <c r="B156" s="1" t="str">
        <f t="shared" si="2"/>
        <v>Single-Family Homes</v>
      </c>
      <c r="C156" s="1" t="s">
        <v>1419</v>
      </c>
    </row>
    <row r="157" spans="1:4" x14ac:dyDescent="0.25">
      <c r="A157" s="1" t="s">
        <v>910</v>
      </c>
      <c r="B157" s="1" t="str">
        <f t="shared" si="2"/>
        <v>Single-Family Homes</v>
      </c>
      <c r="C157" s="1" t="s">
        <v>1419</v>
      </c>
    </row>
    <row r="158" spans="1:4" ht="30" x14ac:dyDescent="0.25">
      <c r="A158" s="1" t="s">
        <v>921</v>
      </c>
      <c r="B158" s="1" t="str">
        <f t="shared" si="2"/>
        <v>Single-Family Homes
Multifamily Home Properties</v>
      </c>
      <c r="C158" s="1" t="s">
        <v>1419</v>
      </c>
      <c r="D158" s="1" t="s">
        <v>1420</v>
      </c>
    </row>
    <row r="159" spans="1:4" ht="30" x14ac:dyDescent="0.25">
      <c r="A159" s="1" t="s">
        <v>940</v>
      </c>
      <c r="B159" s="1" t="str">
        <f t="shared" si="2"/>
        <v>Single-Family Homes
Multifamily Home Properties</v>
      </c>
      <c r="C159" s="1" t="s">
        <v>1419</v>
      </c>
      <c r="D159" s="1" t="s">
        <v>1420</v>
      </c>
    </row>
    <row r="160" spans="1:4" ht="30" x14ac:dyDescent="0.25">
      <c r="A160" s="1" t="s">
        <v>484</v>
      </c>
      <c r="B160" s="1" t="str">
        <f t="shared" si="2"/>
        <v>Single-Family Homes
Multifamily Home Properties</v>
      </c>
      <c r="C160" s="1" t="s">
        <v>1419</v>
      </c>
      <c r="D160" s="1" t="s">
        <v>1420</v>
      </c>
    </row>
    <row r="161" spans="1:4" x14ac:dyDescent="0.25">
      <c r="A161" s="1" t="s">
        <v>909</v>
      </c>
      <c r="B161" s="1" t="str">
        <f t="shared" si="2"/>
        <v>Single-Family Homes</v>
      </c>
      <c r="C161" s="1" t="s">
        <v>1419</v>
      </c>
    </row>
    <row r="162" spans="1:4" x14ac:dyDescent="0.25">
      <c r="A162" s="1" t="s">
        <v>439</v>
      </c>
      <c r="B162" s="1" t="str">
        <f t="shared" si="2"/>
        <v>Single-Family Homes</v>
      </c>
      <c r="C162" s="1" t="s">
        <v>1419</v>
      </c>
    </row>
    <row r="163" spans="1:4" ht="30" x14ac:dyDescent="0.25">
      <c r="A163" s="1" t="s">
        <v>541</v>
      </c>
      <c r="B163" s="1" t="str">
        <f t="shared" si="2"/>
        <v>Multifamily Home Properties</v>
      </c>
      <c r="D163" s="1" t="s">
        <v>1420</v>
      </c>
    </row>
    <row r="164" spans="1:4" ht="30" x14ac:dyDescent="0.25">
      <c r="A164" s="1" t="s">
        <v>423</v>
      </c>
      <c r="B164" s="1" t="str">
        <f t="shared" si="2"/>
        <v>Multifamily Home Properties</v>
      </c>
      <c r="D164" s="1" t="s">
        <v>1420</v>
      </c>
    </row>
    <row r="165" spans="1:4" ht="30" x14ac:dyDescent="0.25">
      <c r="A165" s="1" t="s">
        <v>354</v>
      </c>
      <c r="B165" s="1" t="str">
        <f t="shared" si="2"/>
        <v>Single-Family Homes
Multifamily Home Properties</v>
      </c>
      <c r="C165" s="1" t="s">
        <v>1419</v>
      </c>
      <c r="D165" s="1" t="s">
        <v>1420</v>
      </c>
    </row>
    <row r="166" spans="1:4" ht="30" x14ac:dyDescent="0.25">
      <c r="A166" s="1" t="s">
        <v>278</v>
      </c>
      <c r="B166" s="1" t="str">
        <f t="shared" si="2"/>
        <v>Single-Family Homes
Multifamily Home Properties</v>
      </c>
      <c r="C166" s="1" t="s">
        <v>1419</v>
      </c>
      <c r="D166" s="1" t="s">
        <v>1420</v>
      </c>
    </row>
    <row r="167" spans="1:4" ht="30" x14ac:dyDescent="0.25">
      <c r="A167" s="1" t="s">
        <v>341</v>
      </c>
      <c r="B167" s="1" t="str">
        <f t="shared" si="2"/>
        <v>Single-Family Homes
Multifamily Home Properties</v>
      </c>
      <c r="C167" s="1" t="s">
        <v>1419</v>
      </c>
      <c r="D167" s="1" t="s">
        <v>1420</v>
      </c>
    </row>
    <row r="168" spans="1:4" ht="30" x14ac:dyDescent="0.25">
      <c r="A168" s="1" t="s">
        <v>854</v>
      </c>
      <c r="B168" s="1" t="str">
        <f t="shared" si="2"/>
        <v>Single-Family Homes
Multifamily Home Properties</v>
      </c>
      <c r="C168" s="1" t="s">
        <v>1419</v>
      </c>
      <c r="D168" s="1" t="s">
        <v>1420</v>
      </c>
    </row>
    <row r="169" spans="1:4" x14ac:dyDescent="0.25">
      <c r="A169" s="1" t="s">
        <v>312</v>
      </c>
      <c r="B169" s="1" t="str">
        <f t="shared" si="2"/>
        <v>No Reply</v>
      </c>
      <c r="C169" s="1" t="s">
        <v>1213</v>
      </c>
    </row>
    <row r="170" spans="1:4" ht="30" x14ac:dyDescent="0.25">
      <c r="A170" s="1" t="s">
        <v>465</v>
      </c>
      <c r="B170" s="1" t="str">
        <f t="shared" si="2"/>
        <v>Single-Family Homes
Multifamily Home Properties</v>
      </c>
      <c r="C170" s="1" t="s">
        <v>1419</v>
      </c>
      <c r="D170" s="1" t="s">
        <v>1420</v>
      </c>
    </row>
    <row r="171" spans="1:4" ht="30" x14ac:dyDescent="0.25">
      <c r="A171" s="1" t="s">
        <v>394</v>
      </c>
      <c r="B171" s="1" t="str">
        <f t="shared" si="2"/>
        <v>Single-Family Homes
Multifamily Home Properties</v>
      </c>
      <c r="C171" s="1" t="s">
        <v>1419</v>
      </c>
      <c r="D171" s="1" t="s">
        <v>1420</v>
      </c>
    </row>
    <row r="172" spans="1:4" x14ac:dyDescent="0.25">
      <c r="A172" s="1" t="s">
        <v>890</v>
      </c>
      <c r="B172" s="1" t="str">
        <f t="shared" si="2"/>
        <v>Single-Family Homes</v>
      </c>
      <c r="C172" s="1" t="s">
        <v>1419</v>
      </c>
    </row>
    <row r="173" spans="1:4" ht="30" x14ac:dyDescent="0.25">
      <c r="A173" s="1" t="s">
        <v>171</v>
      </c>
      <c r="B173" s="1" t="str">
        <f t="shared" si="2"/>
        <v>Single-Family Homes
Multifamily Home Properties</v>
      </c>
      <c r="C173" s="1" t="s">
        <v>1419</v>
      </c>
      <c r="D173" s="1" t="s">
        <v>1420</v>
      </c>
    </row>
    <row r="174" spans="1:4" ht="30" x14ac:dyDescent="0.25">
      <c r="A174" s="1" t="s">
        <v>405</v>
      </c>
      <c r="B174" s="1" t="str">
        <f t="shared" si="2"/>
        <v>Single-Family Homes
Multifamily Home Properties</v>
      </c>
      <c r="C174" s="1" t="s">
        <v>1419</v>
      </c>
      <c r="D174" s="1" t="s">
        <v>1420</v>
      </c>
    </row>
    <row r="175" spans="1:4" ht="30" x14ac:dyDescent="0.25">
      <c r="A175" s="1" t="s">
        <v>237</v>
      </c>
      <c r="B175" s="1" t="str">
        <f t="shared" si="2"/>
        <v>Single-Family Homes
Multifamily Home Properties</v>
      </c>
      <c r="C175" s="1" t="s">
        <v>1419</v>
      </c>
      <c r="D175" s="1" t="s">
        <v>1420</v>
      </c>
    </row>
    <row r="176" spans="1:4" ht="30" x14ac:dyDescent="0.25">
      <c r="A176" s="1" t="s">
        <v>290</v>
      </c>
      <c r="B176" s="1" t="str">
        <f t="shared" si="2"/>
        <v>Single-Family Homes
Multifamily Home Properties</v>
      </c>
      <c r="C176" s="1" t="s">
        <v>1419</v>
      </c>
      <c r="D176" s="1" t="s">
        <v>1420</v>
      </c>
    </row>
    <row r="177" spans="1:4" x14ac:dyDescent="0.25">
      <c r="A177" s="1" t="s">
        <v>630</v>
      </c>
      <c r="B177" s="1" t="str">
        <f t="shared" si="2"/>
        <v>Single-Family Homes</v>
      </c>
      <c r="C177" s="1" t="s">
        <v>1419</v>
      </c>
    </row>
    <row r="178" spans="1:4" x14ac:dyDescent="0.25">
      <c r="A178" s="1" t="s">
        <v>139</v>
      </c>
      <c r="B178" s="1" t="str">
        <f t="shared" si="2"/>
        <v>No Reply</v>
      </c>
      <c r="C178" s="1" t="s">
        <v>1213</v>
      </c>
    </row>
    <row r="179" spans="1:4" ht="30" x14ac:dyDescent="0.25">
      <c r="A179" s="1" t="s">
        <v>886</v>
      </c>
      <c r="B179" s="1" t="str">
        <f t="shared" si="2"/>
        <v>Multifamily Home Properties</v>
      </c>
      <c r="D179" s="1" t="s">
        <v>1420</v>
      </c>
    </row>
    <row r="180" spans="1:4" x14ac:dyDescent="0.25">
      <c r="A180" s="1" t="s">
        <v>934</v>
      </c>
      <c r="B180" s="1" t="str">
        <f t="shared" si="2"/>
        <v>Single-Family Homes</v>
      </c>
      <c r="C180" s="1" t="s">
        <v>1419</v>
      </c>
    </row>
    <row r="181" spans="1:4" x14ac:dyDescent="0.25">
      <c r="A181" s="1" t="s">
        <v>562</v>
      </c>
      <c r="B181" s="1" t="str">
        <f t="shared" si="2"/>
        <v>No Reply</v>
      </c>
      <c r="C181" s="1" t="s">
        <v>1213</v>
      </c>
    </row>
    <row r="182" spans="1:4" ht="30" x14ac:dyDescent="0.25">
      <c r="A182" s="1" t="s">
        <v>933</v>
      </c>
      <c r="B182" s="1" t="str">
        <f t="shared" si="2"/>
        <v>Multifamily Home Properties</v>
      </c>
      <c r="D182" s="1" t="s">
        <v>1420</v>
      </c>
    </row>
    <row r="183" spans="1:4" ht="30" x14ac:dyDescent="0.25">
      <c r="A183" s="1" t="s">
        <v>874</v>
      </c>
      <c r="B183" s="1" t="str">
        <f t="shared" si="2"/>
        <v>Single-Family Homes
Multifamily Home Properties</v>
      </c>
      <c r="C183" s="1" t="s">
        <v>1419</v>
      </c>
      <c r="D183" s="1" t="s">
        <v>1420</v>
      </c>
    </row>
    <row r="184" spans="1:4" x14ac:dyDescent="0.25">
      <c r="A184" s="1" t="s">
        <v>893</v>
      </c>
      <c r="B184" s="1" t="str">
        <f t="shared" si="2"/>
        <v>No Reply</v>
      </c>
      <c r="C184" s="1" t="s">
        <v>1213</v>
      </c>
    </row>
    <row r="185" spans="1:4" x14ac:dyDescent="0.25">
      <c r="A185" s="1" t="s">
        <v>491</v>
      </c>
      <c r="B185" s="1" t="str">
        <f t="shared" si="2"/>
        <v>Single-Family Homes</v>
      </c>
      <c r="C185" s="1" t="s">
        <v>1419</v>
      </c>
    </row>
    <row r="186" spans="1:4" ht="30" x14ac:dyDescent="0.25">
      <c r="A186" s="1" t="s">
        <v>64</v>
      </c>
      <c r="B186" s="1" t="str">
        <f t="shared" si="2"/>
        <v>Single-Family Homes
Multifamily Home Properties</v>
      </c>
      <c r="C186" s="1" t="s">
        <v>1419</v>
      </c>
      <c r="D186" s="1" t="s">
        <v>1420</v>
      </c>
    </row>
    <row r="187" spans="1:4" x14ac:dyDescent="0.25">
      <c r="A187" s="1" t="s">
        <v>91</v>
      </c>
      <c r="B187" s="1" t="str">
        <f t="shared" si="2"/>
        <v>Single-Family Homes</v>
      </c>
      <c r="C187" s="1" t="s">
        <v>1419</v>
      </c>
    </row>
    <row r="188" spans="1:4" ht="30" x14ac:dyDescent="0.25">
      <c r="A188" s="1" t="s">
        <v>922</v>
      </c>
      <c r="B188" s="1" t="str">
        <f t="shared" si="2"/>
        <v>Single-Family Homes
Multifamily Home Properties</v>
      </c>
      <c r="C188" s="1" t="s">
        <v>1419</v>
      </c>
      <c r="D188" s="1" t="s">
        <v>1420</v>
      </c>
    </row>
    <row r="189" spans="1:4" ht="30" x14ac:dyDescent="0.25">
      <c r="A189" s="1" t="s">
        <v>864</v>
      </c>
      <c r="B189" s="1" t="str">
        <f t="shared" si="2"/>
        <v>Single-Family Homes
Multifamily Home Properties</v>
      </c>
      <c r="C189" s="1" t="s">
        <v>1419</v>
      </c>
      <c r="D189" s="1" t="s">
        <v>1420</v>
      </c>
    </row>
    <row r="190" spans="1:4" ht="30" x14ac:dyDescent="0.25">
      <c r="A190" s="1" t="s">
        <v>897</v>
      </c>
      <c r="B190" s="1" t="str">
        <f t="shared" si="2"/>
        <v>Single-Family Homes
Multifamily Home Properties</v>
      </c>
      <c r="C190" s="1" t="s">
        <v>1419</v>
      </c>
      <c r="D190" s="1" t="s">
        <v>1420</v>
      </c>
    </row>
    <row r="191" spans="1:4" x14ac:dyDescent="0.25">
      <c r="A191" s="1" t="s">
        <v>454</v>
      </c>
      <c r="B191" s="1" t="str">
        <f t="shared" si="2"/>
        <v>No Reply</v>
      </c>
      <c r="C191" s="1" t="s">
        <v>1213</v>
      </c>
    </row>
    <row r="192" spans="1:4" ht="30" x14ac:dyDescent="0.25">
      <c r="A192" s="1" t="s">
        <v>905</v>
      </c>
      <c r="B192" s="1" t="str">
        <f t="shared" si="2"/>
        <v>Single-Family Homes
Multifamily Home Properties</v>
      </c>
      <c r="C192" s="1" t="s">
        <v>1419</v>
      </c>
      <c r="D192" s="1" t="s">
        <v>1420</v>
      </c>
    </row>
    <row r="193" spans="1:4" x14ac:dyDescent="0.25">
      <c r="A193" s="1" t="s">
        <v>953</v>
      </c>
      <c r="B193" s="1" t="str">
        <f t="shared" si="2"/>
        <v>Single-Family Homes</v>
      </c>
      <c r="C193" s="1" t="s">
        <v>1419</v>
      </c>
    </row>
    <row r="194" spans="1:4" x14ac:dyDescent="0.25">
      <c r="A194" s="1" t="s">
        <v>106</v>
      </c>
      <c r="B194" s="1" t="str">
        <f t="shared" si="2"/>
        <v>Single-Family Homes</v>
      </c>
      <c r="C194" s="1" t="s">
        <v>1419</v>
      </c>
    </row>
    <row r="195" spans="1:4" ht="30" x14ac:dyDescent="0.25">
      <c r="A195" s="1" t="s">
        <v>501</v>
      </c>
      <c r="B195" s="1" t="str">
        <f t="shared" si="2"/>
        <v>Single-Family Homes
Multifamily Home Properties</v>
      </c>
      <c r="C195" s="1" t="s">
        <v>1419</v>
      </c>
      <c r="D195" s="1" t="s">
        <v>1420</v>
      </c>
    </row>
    <row r="196" spans="1:4" ht="30" x14ac:dyDescent="0.25">
      <c r="A196" s="1" t="s">
        <v>891</v>
      </c>
      <c r="B196" s="1" t="str">
        <f t="shared" ref="B196:B259" si="3">_xlfn.TEXTJOIN(CHAR(10),TRUE,C196:D196)</f>
        <v>Multifamily Home Properties</v>
      </c>
      <c r="D196" s="1" t="s">
        <v>1420</v>
      </c>
    </row>
    <row r="197" spans="1:4" ht="30" x14ac:dyDescent="0.25">
      <c r="A197" s="1" t="s">
        <v>96</v>
      </c>
      <c r="B197" s="1" t="str">
        <f t="shared" si="3"/>
        <v>Single-Family Homes
Multifamily Home Properties</v>
      </c>
      <c r="C197" s="1" t="s">
        <v>1419</v>
      </c>
      <c r="D197" s="1" t="s">
        <v>1420</v>
      </c>
    </row>
    <row r="198" spans="1:4" x14ac:dyDescent="0.25">
      <c r="A198" s="1" t="s">
        <v>861</v>
      </c>
      <c r="B198" s="1" t="str">
        <f t="shared" si="3"/>
        <v>No Reply</v>
      </c>
      <c r="C198" s="1" t="s">
        <v>1213</v>
      </c>
    </row>
    <row r="199" spans="1:4" x14ac:dyDescent="0.25">
      <c r="A199" s="1" t="s">
        <v>244</v>
      </c>
      <c r="B199" s="1" t="str">
        <f t="shared" si="3"/>
        <v>No Reply</v>
      </c>
      <c r="C199" s="1" t="s">
        <v>1213</v>
      </c>
    </row>
    <row r="200" spans="1:4" x14ac:dyDescent="0.25">
      <c r="A200" s="1" t="s">
        <v>318</v>
      </c>
      <c r="B200" s="1" t="str">
        <f t="shared" si="3"/>
        <v>Single-Family Homes</v>
      </c>
      <c r="C200" s="1" t="s">
        <v>1419</v>
      </c>
    </row>
    <row r="201" spans="1:4" ht="30" x14ac:dyDescent="0.25">
      <c r="A201" s="1" t="s">
        <v>862</v>
      </c>
      <c r="B201" s="1" t="str">
        <f t="shared" si="3"/>
        <v>Single-Family Homes
Multifamily Home Properties</v>
      </c>
      <c r="C201" s="1" t="s">
        <v>1419</v>
      </c>
      <c r="D201" s="1" t="s">
        <v>1420</v>
      </c>
    </row>
    <row r="202" spans="1:4" ht="30" x14ac:dyDescent="0.25">
      <c r="A202" s="1" t="s">
        <v>476</v>
      </c>
      <c r="B202" s="1" t="str">
        <f t="shared" si="3"/>
        <v>Single-Family Homes
Multifamily Home Properties</v>
      </c>
      <c r="C202" s="1" t="s">
        <v>1419</v>
      </c>
      <c r="D202" s="1" t="s">
        <v>1420</v>
      </c>
    </row>
    <row r="203" spans="1:4" ht="30" x14ac:dyDescent="0.25">
      <c r="A203" s="1" t="s">
        <v>160</v>
      </c>
      <c r="B203" s="1" t="str">
        <f t="shared" si="3"/>
        <v>Single-Family Homes
Multifamily Home Properties</v>
      </c>
      <c r="C203" s="1" t="s">
        <v>1419</v>
      </c>
      <c r="D203" s="1" t="s">
        <v>1420</v>
      </c>
    </row>
    <row r="204" spans="1:4" ht="30" x14ac:dyDescent="0.25">
      <c r="A204" s="1" t="s">
        <v>420</v>
      </c>
      <c r="B204" s="1" t="str">
        <f t="shared" si="3"/>
        <v>Single-Family Homes
Multifamily Home Properties</v>
      </c>
      <c r="C204" s="1" t="s">
        <v>1419</v>
      </c>
      <c r="D204" s="1" t="s">
        <v>1420</v>
      </c>
    </row>
    <row r="205" spans="1:4" ht="30" x14ac:dyDescent="0.25">
      <c r="A205" s="1" t="s">
        <v>227</v>
      </c>
      <c r="B205" s="1" t="str">
        <f t="shared" si="3"/>
        <v>Single-Family Homes
Multifamily Home Properties</v>
      </c>
      <c r="C205" s="1" t="s">
        <v>1419</v>
      </c>
      <c r="D205" s="1" t="s">
        <v>1420</v>
      </c>
    </row>
    <row r="206" spans="1:4" ht="30" x14ac:dyDescent="0.25">
      <c r="A206" s="1" t="s">
        <v>950</v>
      </c>
      <c r="B206" s="1" t="str">
        <f t="shared" si="3"/>
        <v>Single-Family Homes
Multifamily Home Properties</v>
      </c>
      <c r="C206" s="1" t="s">
        <v>1419</v>
      </c>
      <c r="D206" s="1" t="s">
        <v>1420</v>
      </c>
    </row>
    <row r="207" spans="1:4" x14ac:dyDescent="0.25">
      <c r="A207" s="1" t="s">
        <v>556</v>
      </c>
      <c r="B207" s="1" t="str">
        <f t="shared" si="3"/>
        <v>Single-Family Homes</v>
      </c>
      <c r="C207" s="1" t="s">
        <v>1419</v>
      </c>
    </row>
    <row r="208" spans="1:4" ht="30" x14ac:dyDescent="0.25">
      <c r="A208" s="1" t="s">
        <v>894</v>
      </c>
      <c r="B208" s="1" t="str">
        <f t="shared" si="3"/>
        <v>Single-Family Homes
Multifamily Home Properties</v>
      </c>
      <c r="C208" s="1" t="s">
        <v>1419</v>
      </c>
      <c r="D208" s="1" t="s">
        <v>1420</v>
      </c>
    </row>
    <row r="209" spans="1:4" ht="30" x14ac:dyDescent="0.25">
      <c r="A209" s="1" t="s">
        <v>582</v>
      </c>
      <c r="B209" s="1" t="str">
        <f t="shared" si="3"/>
        <v>Single-Family Homes
Multifamily Home Properties</v>
      </c>
      <c r="C209" s="1" t="s">
        <v>1419</v>
      </c>
      <c r="D209" s="1" t="s">
        <v>1420</v>
      </c>
    </row>
    <row r="210" spans="1:4" ht="30" x14ac:dyDescent="0.25">
      <c r="A210" s="1" t="s">
        <v>333</v>
      </c>
      <c r="B210" s="1" t="str">
        <f t="shared" si="3"/>
        <v>Multifamily Home Properties</v>
      </c>
      <c r="D210" s="1" t="s">
        <v>1420</v>
      </c>
    </row>
    <row r="211" spans="1:4" ht="30" x14ac:dyDescent="0.25">
      <c r="A211" s="1" t="s">
        <v>129</v>
      </c>
      <c r="B211" s="1" t="str">
        <f t="shared" si="3"/>
        <v>Single-Family Homes
Multifamily Home Properties</v>
      </c>
      <c r="C211" s="1" t="s">
        <v>1419</v>
      </c>
      <c r="D211" s="1" t="s">
        <v>1420</v>
      </c>
    </row>
    <row r="212" spans="1:4" ht="30" x14ac:dyDescent="0.25">
      <c r="A212" s="1" t="s">
        <v>102</v>
      </c>
      <c r="B212" s="1" t="str">
        <f t="shared" si="3"/>
        <v>Single-Family Homes
Multifamily Home Properties</v>
      </c>
      <c r="C212" s="1" t="s">
        <v>1419</v>
      </c>
      <c r="D212" s="1" t="s">
        <v>1420</v>
      </c>
    </row>
    <row r="213" spans="1:4" x14ac:dyDescent="0.25">
      <c r="A213" s="1" t="s">
        <v>901</v>
      </c>
      <c r="B213" s="1" t="str">
        <f t="shared" si="3"/>
        <v>No Reply</v>
      </c>
      <c r="C213" s="1" t="s">
        <v>1213</v>
      </c>
    </row>
    <row r="214" spans="1:4" x14ac:dyDescent="0.25">
      <c r="A214" s="1" t="s">
        <v>337</v>
      </c>
      <c r="B214" s="1" t="str">
        <f t="shared" si="3"/>
        <v>No Reply</v>
      </c>
      <c r="C214" s="1" t="s">
        <v>1213</v>
      </c>
    </row>
    <row r="215" spans="1:4" ht="30" x14ac:dyDescent="0.25">
      <c r="A215" s="1" t="s">
        <v>925</v>
      </c>
      <c r="B215" s="1" t="str">
        <f t="shared" si="3"/>
        <v>Single-Family Homes
Multifamily Home Properties</v>
      </c>
      <c r="C215" s="1" t="s">
        <v>1419</v>
      </c>
      <c r="D215" s="1" t="s">
        <v>1420</v>
      </c>
    </row>
    <row r="216" spans="1:4" ht="30" x14ac:dyDescent="0.25">
      <c r="A216" s="1" t="s">
        <v>297</v>
      </c>
      <c r="B216" s="1" t="str">
        <f t="shared" si="3"/>
        <v>Single-Family Homes
Multifamily Home Properties</v>
      </c>
      <c r="C216" s="1" t="s">
        <v>1419</v>
      </c>
      <c r="D216" s="1" t="s">
        <v>1420</v>
      </c>
    </row>
    <row r="217" spans="1:4" ht="30" x14ac:dyDescent="0.25">
      <c r="A217" s="1" t="s">
        <v>919</v>
      </c>
      <c r="B217" s="1" t="str">
        <f t="shared" si="3"/>
        <v>Single-Family Homes</v>
      </c>
      <c r="C217" s="1" t="s">
        <v>1419</v>
      </c>
    </row>
    <row r="218" spans="1:4" ht="30" x14ac:dyDescent="0.25">
      <c r="A218" s="1" t="s">
        <v>1055</v>
      </c>
      <c r="B218" s="1" t="str">
        <f t="shared" si="3"/>
        <v>Multifamily Home Properties</v>
      </c>
      <c r="D218" s="1" t="s">
        <v>1420</v>
      </c>
    </row>
    <row r="219" spans="1:4" ht="30" x14ac:dyDescent="0.25">
      <c r="A219" s="1" t="s">
        <v>77</v>
      </c>
      <c r="B219" s="1" t="str">
        <f t="shared" si="3"/>
        <v>Single-Family Homes
Multifamily Home Properties</v>
      </c>
      <c r="C219" s="1" t="s">
        <v>1419</v>
      </c>
      <c r="D219" s="1" t="s">
        <v>1420</v>
      </c>
    </row>
    <row r="220" spans="1:4" ht="30" x14ac:dyDescent="0.25">
      <c r="A220" s="1" t="s">
        <v>444</v>
      </c>
      <c r="B220" s="1" t="str">
        <f t="shared" si="3"/>
        <v>Single-Family Homes
Multifamily Home Properties</v>
      </c>
      <c r="C220" s="1" t="s">
        <v>1419</v>
      </c>
      <c r="D220" s="1" t="s">
        <v>1420</v>
      </c>
    </row>
    <row r="221" spans="1:4" x14ac:dyDescent="0.25">
      <c r="A221" s="1" t="s">
        <v>887</v>
      </c>
      <c r="B221" s="1" t="str">
        <f t="shared" si="3"/>
        <v>Single-Family Homes</v>
      </c>
      <c r="C221" s="1" t="s">
        <v>1419</v>
      </c>
    </row>
    <row r="222" spans="1:4" x14ac:dyDescent="0.25">
      <c r="A222" s="1" t="s">
        <v>572</v>
      </c>
      <c r="B222" s="1" t="str">
        <f t="shared" si="3"/>
        <v>Single-Family Homes</v>
      </c>
      <c r="C222" s="1" t="s">
        <v>1419</v>
      </c>
    </row>
    <row r="223" spans="1:4" x14ac:dyDescent="0.25">
      <c r="A223" s="1" t="s">
        <v>523</v>
      </c>
      <c r="B223" s="1" t="str">
        <f t="shared" si="3"/>
        <v>No Reply</v>
      </c>
      <c r="C223" s="1" t="s">
        <v>1213</v>
      </c>
    </row>
    <row r="224" spans="1:4" ht="30" x14ac:dyDescent="0.25">
      <c r="A224" s="1" t="s">
        <v>56</v>
      </c>
      <c r="B224" s="1" t="str">
        <f t="shared" si="3"/>
        <v>Single-Family Homes
Multifamily Home Properties</v>
      </c>
      <c r="C224" s="1" t="s">
        <v>1419</v>
      </c>
      <c r="D224" s="1" t="s">
        <v>1420</v>
      </c>
    </row>
    <row r="225" spans="1:4" x14ac:dyDescent="0.25">
      <c r="A225" s="1" t="s">
        <v>1303</v>
      </c>
      <c r="B225" s="1" t="str">
        <f t="shared" si="3"/>
        <v>No Reply</v>
      </c>
      <c r="C225" s="1" t="s">
        <v>1213</v>
      </c>
    </row>
    <row r="226" spans="1:4" ht="30" x14ac:dyDescent="0.25">
      <c r="A226" s="1" t="s">
        <v>1302</v>
      </c>
      <c r="B226" s="1" t="str">
        <f t="shared" si="3"/>
        <v>Single-Family Homes
Multifamily Home Properties</v>
      </c>
      <c r="C226" s="1" t="s">
        <v>1419</v>
      </c>
      <c r="D226" s="1" t="s">
        <v>1420</v>
      </c>
    </row>
    <row r="227" spans="1:4" ht="30" x14ac:dyDescent="0.25">
      <c r="A227" s="1" t="s">
        <v>195</v>
      </c>
      <c r="B227" s="1" t="str">
        <f t="shared" si="3"/>
        <v>Single-Family Homes
Multifamily Home Properties</v>
      </c>
      <c r="C227" s="1" t="s">
        <v>1419</v>
      </c>
      <c r="D227" s="1" t="s">
        <v>1420</v>
      </c>
    </row>
    <row r="228" spans="1:4" x14ac:dyDescent="0.25">
      <c r="A228" s="1" t="s">
        <v>1234</v>
      </c>
      <c r="B228" s="1" t="str">
        <f t="shared" si="3"/>
        <v>No Reply</v>
      </c>
      <c r="C228" s="1" t="s">
        <v>1213</v>
      </c>
    </row>
    <row r="229" spans="1:4" ht="30" x14ac:dyDescent="0.25">
      <c r="A229" s="1" t="s">
        <v>183</v>
      </c>
      <c r="B229" s="1" t="str">
        <f t="shared" si="3"/>
        <v>Single-Family Homes
Multifamily Home Properties</v>
      </c>
      <c r="C229" s="1" t="s">
        <v>1419</v>
      </c>
      <c r="D229" s="1" t="s">
        <v>1420</v>
      </c>
    </row>
    <row r="230" spans="1:4" ht="30" x14ac:dyDescent="0.25">
      <c r="A230" s="1" t="s">
        <v>370</v>
      </c>
      <c r="B230" s="1" t="str">
        <f t="shared" si="3"/>
        <v>Single-Family Homes
Multifamily Home Properties</v>
      </c>
      <c r="C230" s="1" t="s">
        <v>1419</v>
      </c>
      <c r="D230" s="1" t="s">
        <v>1420</v>
      </c>
    </row>
    <row r="231" spans="1:4" ht="30" x14ac:dyDescent="0.25">
      <c r="A231" s="1" t="s">
        <v>913</v>
      </c>
      <c r="B231" s="1" t="str">
        <f t="shared" si="3"/>
        <v>Single-Family Homes
Multifamily Home Properties</v>
      </c>
      <c r="C231" s="1" t="s">
        <v>1419</v>
      </c>
      <c r="D231" s="1" t="s">
        <v>1420</v>
      </c>
    </row>
    <row r="232" spans="1:4" ht="30" x14ac:dyDescent="0.25">
      <c r="A232" s="1" t="s">
        <v>163</v>
      </c>
      <c r="B232" s="1" t="str">
        <f t="shared" si="3"/>
        <v>Single-Family Homes
Multifamily Home Properties</v>
      </c>
      <c r="C232" s="1" t="s">
        <v>1419</v>
      </c>
      <c r="D232" s="1" t="s">
        <v>1420</v>
      </c>
    </row>
    <row r="233" spans="1:4" ht="30" x14ac:dyDescent="0.25">
      <c r="A233" s="1" t="s">
        <v>877</v>
      </c>
      <c r="B233" s="1" t="str">
        <f t="shared" si="3"/>
        <v>Single-Family Homes
Multifamily Home Properties</v>
      </c>
      <c r="C233" s="1" t="s">
        <v>1419</v>
      </c>
      <c r="D233" s="1" t="s">
        <v>1420</v>
      </c>
    </row>
    <row r="234" spans="1:4" ht="30" x14ac:dyDescent="0.25">
      <c r="A234" s="1" t="s">
        <v>49</v>
      </c>
      <c r="B234" s="1" t="str">
        <f t="shared" si="3"/>
        <v>Single-Family Homes
Multifamily Home Properties</v>
      </c>
      <c r="C234" s="1" t="s">
        <v>1419</v>
      </c>
      <c r="D234" s="1" t="s">
        <v>1420</v>
      </c>
    </row>
    <row r="235" spans="1:4" x14ac:dyDescent="0.25">
      <c r="A235" s="1" t="s">
        <v>544</v>
      </c>
      <c r="B235" s="1" t="str">
        <f t="shared" si="3"/>
        <v>Single-Family Homes</v>
      </c>
      <c r="C235" s="1" t="s">
        <v>1419</v>
      </c>
    </row>
    <row r="236" spans="1:4" ht="30" x14ac:dyDescent="0.25">
      <c r="A236" s="1" t="s">
        <v>952</v>
      </c>
      <c r="B236" s="1" t="str">
        <f t="shared" si="3"/>
        <v>Multifamily Home Properties</v>
      </c>
      <c r="D236" s="1" t="s">
        <v>1420</v>
      </c>
    </row>
    <row r="237" spans="1:4" ht="30" x14ac:dyDescent="0.25">
      <c r="A237" s="1" t="s">
        <v>856</v>
      </c>
      <c r="B237" s="1" t="str">
        <f t="shared" si="3"/>
        <v>Multifamily Home Properties</v>
      </c>
      <c r="D237" s="1" t="s">
        <v>1420</v>
      </c>
    </row>
    <row r="238" spans="1:4" ht="30" x14ac:dyDescent="0.25">
      <c r="A238" s="1" t="s">
        <v>118</v>
      </c>
      <c r="B238" s="1" t="str">
        <f t="shared" si="3"/>
        <v>Single-Family Homes
Multifamily Home Properties</v>
      </c>
      <c r="C238" s="1" t="s">
        <v>1419</v>
      </c>
      <c r="D238" s="1" t="s">
        <v>1420</v>
      </c>
    </row>
    <row r="239" spans="1:4" ht="30" x14ac:dyDescent="0.25">
      <c r="A239" s="1" t="s">
        <v>1227</v>
      </c>
      <c r="B239" s="1" t="str">
        <f t="shared" si="3"/>
        <v>Single-Family Homes
Multifamily Home Properties</v>
      </c>
      <c r="C239" s="1" t="s">
        <v>1419</v>
      </c>
      <c r="D239" s="1" t="s">
        <v>1420</v>
      </c>
    </row>
    <row r="240" spans="1:4" ht="30" x14ac:dyDescent="0.25">
      <c r="A240" s="1" t="s">
        <v>513</v>
      </c>
      <c r="B240" s="1" t="str">
        <f t="shared" si="3"/>
        <v>Single-Family Homes
Multifamily Home Properties</v>
      </c>
      <c r="C240" s="1" t="s">
        <v>1419</v>
      </c>
      <c r="D240" s="1" t="s">
        <v>1420</v>
      </c>
    </row>
    <row r="241" spans="1:4" ht="30" x14ac:dyDescent="0.25">
      <c r="A241" s="1" t="s">
        <v>408</v>
      </c>
      <c r="B241" s="1" t="str">
        <f t="shared" si="3"/>
        <v>Multifamily Home Properties</v>
      </c>
      <c r="D241" s="1" t="s">
        <v>1420</v>
      </c>
    </row>
    <row r="242" spans="1:4" x14ac:dyDescent="0.25">
      <c r="A242" s="1" t="s">
        <v>436</v>
      </c>
      <c r="B242" s="1" t="str">
        <f t="shared" si="3"/>
        <v>No Reply</v>
      </c>
      <c r="C242" s="1" t="s">
        <v>1213</v>
      </c>
    </row>
    <row r="243" spans="1:4" ht="30" x14ac:dyDescent="0.25">
      <c r="A243" s="1" t="s">
        <v>870</v>
      </c>
      <c r="B243" s="1" t="str">
        <f t="shared" si="3"/>
        <v>Single-Family Homes
Multifamily Home Properties</v>
      </c>
      <c r="C243" s="1" t="s">
        <v>1419</v>
      </c>
      <c r="D243" s="1" t="s">
        <v>1420</v>
      </c>
    </row>
    <row r="244" spans="1:4" ht="30" x14ac:dyDescent="0.25">
      <c r="A244" s="1" t="s">
        <v>460</v>
      </c>
      <c r="B244" s="1" t="str">
        <f t="shared" si="3"/>
        <v>Single-Family Homes
Multifamily Home Properties</v>
      </c>
      <c r="C244" s="1" t="s">
        <v>1419</v>
      </c>
      <c r="D244" s="1" t="s">
        <v>1420</v>
      </c>
    </row>
    <row r="245" spans="1:4" ht="30" x14ac:dyDescent="0.25">
      <c r="A245" s="1" t="s">
        <v>937</v>
      </c>
      <c r="B245" s="1" t="str">
        <f t="shared" si="3"/>
        <v>Single-Family Homes
Multifamily Home Properties</v>
      </c>
      <c r="C245" s="1" t="s">
        <v>1419</v>
      </c>
      <c r="D245" s="1" t="s">
        <v>1420</v>
      </c>
    </row>
    <row r="246" spans="1:4" x14ac:dyDescent="0.25">
      <c r="A246" s="1" t="s">
        <v>80</v>
      </c>
      <c r="B246" s="1" t="str">
        <f t="shared" si="3"/>
        <v>No Reply</v>
      </c>
      <c r="C246" s="1" t="s">
        <v>1213</v>
      </c>
    </row>
    <row r="247" spans="1:4" ht="30" x14ac:dyDescent="0.25">
      <c r="A247" s="1" t="s">
        <v>175</v>
      </c>
      <c r="B247" s="1" t="str">
        <f t="shared" si="3"/>
        <v>Single-Family Homes
Multifamily Home Properties</v>
      </c>
      <c r="C247" s="1" t="s">
        <v>1419</v>
      </c>
      <c r="D247" s="1" t="s">
        <v>1420</v>
      </c>
    </row>
    <row r="248" spans="1:4" ht="30" x14ac:dyDescent="0.25">
      <c r="A248" s="1" t="s">
        <v>884</v>
      </c>
      <c r="B248" s="1" t="str">
        <f t="shared" si="3"/>
        <v>Multifamily Home Properties</v>
      </c>
      <c r="D248" s="1" t="s">
        <v>1420</v>
      </c>
    </row>
    <row r="249" spans="1:4" ht="30" x14ac:dyDescent="0.25">
      <c r="A249" s="1" t="s">
        <v>230</v>
      </c>
      <c r="B249" s="1" t="str">
        <f t="shared" si="3"/>
        <v>Single-Family Homes
Multifamily Home Properties</v>
      </c>
      <c r="C249" s="1" t="s">
        <v>1419</v>
      </c>
      <c r="D249" s="1" t="s">
        <v>1420</v>
      </c>
    </row>
    <row r="250" spans="1:4" x14ac:dyDescent="0.25">
      <c r="A250" s="1" t="s">
        <v>45</v>
      </c>
      <c r="B250" s="1" t="str">
        <f t="shared" si="3"/>
        <v>Single-Family Homes</v>
      </c>
      <c r="C250" s="1" t="s">
        <v>1419</v>
      </c>
    </row>
    <row r="251" spans="1:4" ht="30" x14ac:dyDescent="0.25">
      <c r="A251" s="1" t="s">
        <v>301</v>
      </c>
      <c r="B251" s="1" t="str">
        <f t="shared" si="3"/>
        <v>Single-Family Homes
Multifamily Home Properties</v>
      </c>
      <c r="C251" s="1" t="s">
        <v>1419</v>
      </c>
      <c r="D251" s="1" t="s">
        <v>1420</v>
      </c>
    </row>
    <row r="252" spans="1:4" x14ac:dyDescent="0.25">
      <c r="A252" s="1" t="s">
        <v>947</v>
      </c>
      <c r="B252" s="1" t="str">
        <f t="shared" si="3"/>
        <v>Single-Family Homes</v>
      </c>
      <c r="C252" s="1" t="s">
        <v>1419</v>
      </c>
    </row>
    <row r="253" spans="1:4" ht="30" x14ac:dyDescent="0.25">
      <c r="A253" s="1" t="s">
        <v>1226</v>
      </c>
      <c r="B253" s="1" t="str">
        <f t="shared" si="3"/>
        <v>Single-Family Homes
Multifamily Home Properties</v>
      </c>
      <c r="C253" s="1" t="s">
        <v>1419</v>
      </c>
      <c r="D253" s="1" t="s">
        <v>1420</v>
      </c>
    </row>
    <row r="254" spans="1:4" ht="30" x14ac:dyDescent="0.25">
      <c r="A254" s="1" t="s">
        <v>855</v>
      </c>
      <c r="B254" s="1" t="str">
        <f t="shared" si="3"/>
        <v>Single-Family Homes
Multifamily Home Properties</v>
      </c>
      <c r="C254" s="1" t="s">
        <v>1419</v>
      </c>
      <c r="D254" s="1" t="s">
        <v>1420</v>
      </c>
    </row>
    <row r="255" spans="1:4" x14ac:dyDescent="0.25">
      <c r="A255" s="1" t="s">
        <v>480</v>
      </c>
      <c r="B255" s="1" t="str">
        <f t="shared" si="3"/>
        <v>Single-Family Homes</v>
      </c>
      <c r="C255" s="1" t="s">
        <v>1419</v>
      </c>
    </row>
    <row r="256" spans="1:4" ht="30" x14ac:dyDescent="0.25">
      <c r="A256" s="1" t="s">
        <v>315</v>
      </c>
      <c r="B256" s="1" t="str">
        <f t="shared" si="3"/>
        <v>Single-Family Homes
Multifamily Home Properties</v>
      </c>
      <c r="C256" s="1" t="s">
        <v>1419</v>
      </c>
      <c r="D256" s="1" t="s">
        <v>1420</v>
      </c>
    </row>
    <row r="257" spans="1:4" ht="30" x14ac:dyDescent="0.25">
      <c r="A257" s="1" t="s">
        <v>927</v>
      </c>
      <c r="B257" s="1" t="str">
        <f t="shared" si="3"/>
        <v>Single-Family Homes
Multifamily Home Properties</v>
      </c>
      <c r="C257" s="1" t="s">
        <v>1419</v>
      </c>
      <c r="D257" s="1" t="s">
        <v>1420</v>
      </c>
    </row>
    <row r="258" spans="1:4" ht="30" x14ac:dyDescent="0.25">
      <c r="A258" s="1" t="s">
        <v>344</v>
      </c>
      <c r="B258" s="1" t="str">
        <f t="shared" si="3"/>
        <v>Single-Family Homes
Multifamily Home Properties</v>
      </c>
      <c r="C258" s="1" t="s">
        <v>1419</v>
      </c>
      <c r="D258" s="1" t="s">
        <v>1420</v>
      </c>
    </row>
    <row r="259" spans="1:4" x14ac:dyDescent="0.25">
      <c r="A259" s="1" t="s">
        <v>902</v>
      </c>
      <c r="B259" s="1" t="str">
        <f t="shared" si="3"/>
        <v>No Reply</v>
      </c>
      <c r="C259" s="1" t="s">
        <v>1213</v>
      </c>
    </row>
    <row r="260" spans="1:4" x14ac:dyDescent="0.25">
      <c r="A260" s="1" t="s">
        <v>944</v>
      </c>
      <c r="B260" s="1" t="str">
        <f t="shared" ref="B260:B262" si="4">_xlfn.TEXTJOIN(CHAR(10),TRUE,C260:D260)</f>
        <v>Single-Family Homes</v>
      </c>
      <c r="C260" s="1" t="s">
        <v>1419</v>
      </c>
    </row>
    <row r="261" spans="1:4" ht="30" x14ac:dyDescent="0.25">
      <c r="A261" s="1" t="s">
        <v>871</v>
      </c>
      <c r="B261" s="1" t="str">
        <f t="shared" si="4"/>
        <v>Single-Family Homes
Multifamily Home Properties</v>
      </c>
      <c r="C261" s="1" t="s">
        <v>1419</v>
      </c>
      <c r="D261" s="1" t="s">
        <v>1420</v>
      </c>
    </row>
    <row r="262" spans="1:4" ht="30" x14ac:dyDescent="0.25">
      <c r="A262" s="1" t="s">
        <v>885</v>
      </c>
      <c r="B262" s="1" t="str">
        <f t="shared" si="4"/>
        <v>Single-Family Homes
Multifamily Home Properties</v>
      </c>
      <c r="C262" s="1" t="s">
        <v>1419</v>
      </c>
      <c r="D262" s="1" t="s">
        <v>1420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3A9-2295-4CB3-B23C-79F3E6B8016B}">
  <dimension ref="A2:D262"/>
  <sheetViews>
    <sheetView workbookViewId="0">
      <selection activeCell="H8" sqref="H8"/>
    </sheetView>
  </sheetViews>
  <sheetFormatPr defaultRowHeight="15" x14ac:dyDescent="0.25"/>
  <cols>
    <col min="1" max="1" width="37.140625" style="1" bestFit="1" customWidth="1"/>
    <col min="2" max="2" width="37.140625" style="1" customWidth="1"/>
    <col min="3" max="3" width="13.140625" style="1" customWidth="1"/>
    <col min="4" max="4" width="16.42578125" style="1" bestFit="1" customWidth="1"/>
  </cols>
  <sheetData>
    <row r="2" spans="1:4" x14ac:dyDescent="0.25">
      <c r="A2" s="6" t="s">
        <v>847</v>
      </c>
      <c r="B2" s="23" t="s">
        <v>1418</v>
      </c>
      <c r="C2" s="19" t="s">
        <v>1416</v>
      </c>
      <c r="D2" s="22" t="s">
        <v>1417</v>
      </c>
    </row>
    <row r="3" spans="1:4" ht="30" x14ac:dyDescent="0.25">
      <c r="A3" s="1" t="s">
        <v>857</v>
      </c>
      <c r="B3" s="1" t="str">
        <f>_xlfn.TEXTJOIN(CHAR(10),TRUE,C3:D3)</f>
        <v>Residential Customers
Non-Residential Customers</v>
      </c>
      <c r="C3" s="1" t="s">
        <v>35</v>
      </c>
      <c r="D3" s="1" t="s">
        <v>961</v>
      </c>
    </row>
    <row r="4" spans="1:4" ht="30" x14ac:dyDescent="0.25">
      <c r="A4" s="1" t="s">
        <v>863</v>
      </c>
      <c r="B4" s="1" t="str">
        <f t="shared" ref="B4:B7" si="0">_xlfn.TEXTJOIN(CHAR(10),TRUE,C4:D4)</f>
        <v>Residential Customers</v>
      </c>
      <c r="C4" s="1" t="s">
        <v>35</v>
      </c>
    </row>
    <row r="5" spans="1:4" ht="30" x14ac:dyDescent="0.25">
      <c r="A5" s="1" t="s">
        <v>240</v>
      </c>
      <c r="B5" s="1" t="str">
        <f t="shared" si="0"/>
        <v>Residential Customers</v>
      </c>
      <c r="C5" s="1" t="s">
        <v>35</v>
      </c>
    </row>
    <row r="6" spans="1:4" ht="30" x14ac:dyDescent="0.25">
      <c r="A6" s="1" t="s">
        <v>214</v>
      </c>
      <c r="B6" s="1" t="str">
        <f t="shared" si="0"/>
        <v>Residential Customers</v>
      </c>
      <c r="C6" s="1" t="s">
        <v>35</v>
      </c>
    </row>
    <row r="7" spans="1:4" ht="30" x14ac:dyDescent="0.25">
      <c r="A7" s="1" t="s">
        <v>866</v>
      </c>
      <c r="B7" s="1" t="str">
        <f t="shared" si="0"/>
        <v>Residential Customers</v>
      </c>
      <c r="C7" s="1" t="s">
        <v>35</v>
      </c>
    </row>
    <row r="8" spans="1:4" ht="30" x14ac:dyDescent="0.25">
      <c r="A8" s="1" t="s">
        <v>71</v>
      </c>
      <c r="B8" s="1" t="str">
        <f>_xlfn.TEXTJOIN(CHAR(10),TRUE,C8:D8)</f>
        <v>Residential Customers
Non-Residential Customers</v>
      </c>
      <c r="C8" s="1" t="s">
        <v>35</v>
      </c>
      <c r="D8" s="1" t="s">
        <v>961</v>
      </c>
    </row>
    <row r="9" spans="1:4" ht="30" x14ac:dyDescent="0.25">
      <c r="A9" s="1" t="s">
        <v>1233</v>
      </c>
      <c r="B9" s="1" t="str">
        <f t="shared" ref="B9:B72" si="1">_xlfn.TEXTJOIN(CHAR(10),TRUE,C9:D9)</f>
        <v>Residential Customers</v>
      </c>
      <c r="C9" s="1" t="s">
        <v>35</v>
      </c>
    </row>
    <row r="10" spans="1:4" ht="30" x14ac:dyDescent="0.25">
      <c r="A10" s="1" t="s">
        <v>907</v>
      </c>
      <c r="B10" s="1" t="str">
        <f t="shared" si="1"/>
        <v>Residential Customers
Non-Residential Customers</v>
      </c>
      <c r="C10" s="1" t="s">
        <v>35</v>
      </c>
      <c r="D10" s="1" t="s">
        <v>961</v>
      </c>
    </row>
    <row r="11" spans="1:4" ht="30" x14ac:dyDescent="0.25">
      <c r="A11" s="1" t="s">
        <v>458</v>
      </c>
      <c r="B11" s="1" t="str">
        <f t="shared" si="1"/>
        <v>Residential Customers</v>
      </c>
      <c r="C11" s="1" t="s">
        <v>35</v>
      </c>
    </row>
    <row r="12" spans="1:4" ht="30" x14ac:dyDescent="0.25">
      <c r="A12" s="1" t="s">
        <v>208</v>
      </c>
      <c r="B12" s="1" t="str">
        <f t="shared" si="1"/>
        <v>Residential Customers
Non-Residential Customers</v>
      </c>
      <c r="C12" s="1" t="s">
        <v>35</v>
      </c>
      <c r="D12" s="1" t="s">
        <v>961</v>
      </c>
    </row>
    <row r="13" spans="1:4" ht="30" x14ac:dyDescent="0.25">
      <c r="A13" s="1" t="s">
        <v>906</v>
      </c>
      <c r="B13" s="1" t="str">
        <f t="shared" si="1"/>
        <v>Residential Customers
Non-Residential Customers</v>
      </c>
      <c r="C13" s="1" t="s">
        <v>35</v>
      </c>
      <c r="D13" s="1" t="s">
        <v>961</v>
      </c>
    </row>
    <row r="14" spans="1:4" ht="30" x14ac:dyDescent="0.25">
      <c r="A14" s="1" t="s">
        <v>1295</v>
      </c>
      <c r="B14" s="1" t="str">
        <f t="shared" si="1"/>
        <v>Residential Customers</v>
      </c>
      <c r="C14" s="1" t="s">
        <v>35</v>
      </c>
    </row>
    <row r="15" spans="1:4" ht="30" x14ac:dyDescent="0.25">
      <c r="A15" s="1" t="s">
        <v>941</v>
      </c>
      <c r="B15" s="1" t="str">
        <f t="shared" si="1"/>
        <v>Residential Customers</v>
      </c>
      <c r="C15" s="1" t="s">
        <v>35</v>
      </c>
    </row>
    <row r="16" spans="1:4" ht="30" x14ac:dyDescent="0.25">
      <c r="A16" s="1" t="s">
        <v>122</v>
      </c>
      <c r="B16" s="1" t="str">
        <f t="shared" si="1"/>
        <v>Residential Customers
Non-Residential Customers</v>
      </c>
      <c r="C16" s="1" t="s">
        <v>35</v>
      </c>
      <c r="D16" s="1" t="s">
        <v>961</v>
      </c>
    </row>
    <row r="17" spans="1:4" ht="30" x14ac:dyDescent="0.25">
      <c r="A17" s="1" t="s">
        <v>881</v>
      </c>
      <c r="B17" s="1" t="str">
        <f t="shared" si="1"/>
        <v>Residential Customers</v>
      </c>
      <c r="C17" s="1" t="s">
        <v>35</v>
      </c>
    </row>
    <row r="18" spans="1:4" ht="30" x14ac:dyDescent="0.25">
      <c r="A18" s="1" t="s">
        <v>936</v>
      </c>
      <c r="B18" s="1" t="str">
        <f t="shared" si="1"/>
        <v>Residential Customers
Non-Residential Customers</v>
      </c>
      <c r="C18" s="1" t="s">
        <v>35</v>
      </c>
      <c r="D18" s="1" t="s">
        <v>961</v>
      </c>
    </row>
    <row r="19" spans="1:4" ht="30" x14ac:dyDescent="0.25">
      <c r="A19" s="1" t="s">
        <v>87</v>
      </c>
      <c r="B19" s="1" t="str">
        <f t="shared" si="1"/>
        <v>Residential Customers
Non-Residential Customers</v>
      </c>
      <c r="C19" s="1" t="s">
        <v>35</v>
      </c>
      <c r="D19" s="1" t="s">
        <v>961</v>
      </c>
    </row>
    <row r="20" spans="1:4" ht="30" x14ac:dyDescent="0.25">
      <c r="A20" s="1" t="s">
        <v>427</v>
      </c>
      <c r="B20" s="1" t="str">
        <f t="shared" si="1"/>
        <v>Residential Customers</v>
      </c>
      <c r="C20" s="1" t="s">
        <v>35</v>
      </c>
    </row>
    <row r="21" spans="1:4" ht="30" x14ac:dyDescent="0.25">
      <c r="A21" s="1" t="s">
        <v>915</v>
      </c>
      <c r="B21" s="1" t="str">
        <f t="shared" si="1"/>
        <v>Residential Customers</v>
      </c>
      <c r="C21" s="1" t="s">
        <v>35</v>
      </c>
    </row>
    <row r="22" spans="1:4" ht="30" x14ac:dyDescent="0.25">
      <c r="A22" s="1" t="s">
        <v>383</v>
      </c>
      <c r="B22" s="1" t="str">
        <f t="shared" si="1"/>
        <v>Residential Customers
Non-Residential Customers</v>
      </c>
      <c r="C22" s="1" t="s">
        <v>35</v>
      </c>
      <c r="D22" s="1" t="s">
        <v>961</v>
      </c>
    </row>
    <row r="23" spans="1:4" ht="30" x14ac:dyDescent="0.25">
      <c r="A23" s="1" t="s">
        <v>293</v>
      </c>
      <c r="B23" s="1" t="str">
        <f t="shared" si="1"/>
        <v>Residential Customers
Non-Residential Customers</v>
      </c>
      <c r="C23" s="1" t="s">
        <v>35</v>
      </c>
      <c r="D23" s="1" t="s">
        <v>961</v>
      </c>
    </row>
    <row r="24" spans="1:4" ht="30" x14ac:dyDescent="0.25">
      <c r="A24" s="1" t="s">
        <v>401</v>
      </c>
      <c r="B24" s="1" t="str">
        <f t="shared" si="1"/>
        <v>Non-residential Customers</v>
      </c>
      <c r="D24" s="1" t="s">
        <v>44</v>
      </c>
    </row>
    <row r="25" spans="1:4" ht="30" x14ac:dyDescent="0.25">
      <c r="A25" s="1" t="s">
        <v>471</v>
      </c>
      <c r="B25" s="1" t="str">
        <f t="shared" si="1"/>
        <v>Residential Customers</v>
      </c>
      <c r="C25" s="1" t="s">
        <v>35</v>
      </c>
    </row>
    <row r="26" spans="1:4" ht="30" x14ac:dyDescent="0.25">
      <c r="A26" s="1" t="s">
        <v>883</v>
      </c>
      <c r="B26" s="1" t="str">
        <f t="shared" si="1"/>
        <v>Non-residential Customers</v>
      </c>
      <c r="D26" s="1" t="s">
        <v>44</v>
      </c>
    </row>
    <row r="27" spans="1:4" ht="30" x14ac:dyDescent="0.25">
      <c r="A27" s="1" t="s">
        <v>360</v>
      </c>
      <c r="B27" s="1" t="str">
        <f t="shared" si="1"/>
        <v>Residential Customers
Non-Residential Customers</v>
      </c>
      <c r="C27" s="1" t="s">
        <v>35</v>
      </c>
      <c r="D27" s="1" t="s">
        <v>961</v>
      </c>
    </row>
    <row r="28" spans="1:4" ht="30" x14ac:dyDescent="0.25">
      <c r="A28" s="1" t="s">
        <v>942</v>
      </c>
      <c r="B28" s="1" t="str">
        <f t="shared" si="1"/>
        <v>Residential Customers
Non-Residential Customers</v>
      </c>
      <c r="C28" s="1" t="s">
        <v>35</v>
      </c>
      <c r="D28" s="1" t="s">
        <v>961</v>
      </c>
    </row>
    <row r="29" spans="1:4" ht="30" x14ac:dyDescent="0.25">
      <c r="A29" s="1" t="s">
        <v>366</v>
      </c>
      <c r="B29" s="1" t="str">
        <f t="shared" si="1"/>
        <v>Residential Customers
Non-Residential Customers</v>
      </c>
      <c r="C29" s="1" t="s">
        <v>35</v>
      </c>
      <c r="D29" s="1" t="s">
        <v>961</v>
      </c>
    </row>
    <row r="30" spans="1:4" ht="30" x14ac:dyDescent="0.25">
      <c r="A30" s="1" t="s">
        <v>553</v>
      </c>
      <c r="B30" s="1" t="str">
        <f t="shared" si="1"/>
        <v>Residential Customers</v>
      </c>
      <c r="C30" s="1" t="s">
        <v>35</v>
      </c>
    </row>
    <row r="31" spans="1:4" ht="30" x14ac:dyDescent="0.25">
      <c r="A31" s="1" t="s">
        <v>943</v>
      </c>
      <c r="B31" s="1" t="str">
        <f t="shared" si="1"/>
        <v>Residential Customers
Non-Residential Customers</v>
      </c>
      <c r="C31" s="1" t="s">
        <v>35</v>
      </c>
      <c r="D31" s="1" t="s">
        <v>961</v>
      </c>
    </row>
    <row r="32" spans="1:4" ht="30" x14ac:dyDescent="0.25">
      <c r="A32" s="1" t="s">
        <v>1232</v>
      </c>
      <c r="B32" s="1" t="str">
        <f t="shared" si="1"/>
        <v>Residential Customers
Non-Residential Customers</v>
      </c>
      <c r="C32" s="1" t="s">
        <v>35</v>
      </c>
      <c r="D32" s="1" t="s">
        <v>961</v>
      </c>
    </row>
    <row r="33" spans="1:4" ht="30" x14ac:dyDescent="0.25">
      <c r="A33" s="1" t="s">
        <v>928</v>
      </c>
      <c r="B33" s="1" t="str">
        <f t="shared" si="1"/>
        <v>Residential Customers
Non-Residential Customers</v>
      </c>
      <c r="C33" s="1" t="s">
        <v>35</v>
      </c>
      <c r="D33" s="1" t="s">
        <v>961</v>
      </c>
    </row>
    <row r="34" spans="1:4" x14ac:dyDescent="0.25">
      <c r="A34" s="1" t="s">
        <v>549</v>
      </c>
      <c r="B34" s="1" t="str">
        <f t="shared" si="1"/>
        <v/>
      </c>
    </row>
    <row r="35" spans="1:4" ht="30" x14ac:dyDescent="0.25">
      <c r="A35" s="1" t="s">
        <v>202</v>
      </c>
      <c r="B35" s="1" t="str">
        <f t="shared" si="1"/>
        <v>Residential Customers</v>
      </c>
      <c r="C35" s="1" t="s">
        <v>35</v>
      </c>
    </row>
    <row r="36" spans="1:4" ht="30" x14ac:dyDescent="0.25">
      <c r="A36" s="1" t="s">
        <v>851</v>
      </c>
      <c r="B36" s="1" t="str">
        <f t="shared" si="1"/>
        <v>Residential Customers
Non-Residential Customers</v>
      </c>
      <c r="C36" s="1" t="s">
        <v>35</v>
      </c>
      <c r="D36" s="1" t="s">
        <v>961</v>
      </c>
    </row>
    <row r="37" spans="1:4" ht="30" x14ac:dyDescent="0.25">
      <c r="A37" s="1" t="s">
        <v>882</v>
      </c>
      <c r="B37" s="1" t="str">
        <f t="shared" si="1"/>
        <v>Residential Customers
Non-Residential Customers</v>
      </c>
      <c r="C37" s="1" t="s">
        <v>35</v>
      </c>
      <c r="D37" s="1" t="s">
        <v>961</v>
      </c>
    </row>
    <row r="38" spans="1:4" ht="30" x14ac:dyDescent="0.25">
      <c r="A38" s="1" t="s">
        <v>217</v>
      </c>
      <c r="B38" s="1" t="str">
        <f t="shared" si="1"/>
        <v>Residential Customers</v>
      </c>
      <c r="C38" s="1" t="s">
        <v>35</v>
      </c>
    </row>
    <row r="39" spans="1:4" ht="30" x14ac:dyDescent="0.25">
      <c r="A39" s="1" t="s">
        <v>463</v>
      </c>
      <c r="B39" s="1" t="str">
        <f t="shared" si="1"/>
        <v>Residential Customers</v>
      </c>
      <c r="C39" s="1" t="s">
        <v>35</v>
      </c>
    </row>
    <row r="40" spans="1:4" ht="30" x14ac:dyDescent="0.25">
      <c r="A40" s="1" t="s">
        <v>505</v>
      </c>
      <c r="B40" s="1" t="str">
        <f t="shared" si="1"/>
        <v>Residential Customers
Non-Residential Customers</v>
      </c>
      <c r="C40" s="1" t="s">
        <v>35</v>
      </c>
      <c r="D40" s="1" t="s">
        <v>961</v>
      </c>
    </row>
    <row r="41" spans="1:4" ht="30" x14ac:dyDescent="0.25">
      <c r="A41" s="1" t="s">
        <v>497</v>
      </c>
      <c r="B41" s="1" t="str">
        <f t="shared" si="1"/>
        <v>Residential Customers</v>
      </c>
      <c r="C41" s="1" t="s">
        <v>35</v>
      </c>
    </row>
    <row r="42" spans="1:4" ht="30" x14ac:dyDescent="0.25">
      <c r="A42" s="1" t="s">
        <v>1231</v>
      </c>
      <c r="B42" s="1" t="str">
        <f t="shared" si="1"/>
        <v>Residential Customers</v>
      </c>
      <c r="C42" s="1" t="s">
        <v>35</v>
      </c>
    </row>
    <row r="43" spans="1:4" ht="30" x14ac:dyDescent="0.25">
      <c r="A43" s="1" t="s">
        <v>926</v>
      </c>
      <c r="B43" s="1" t="str">
        <f t="shared" si="1"/>
        <v>Residential Customers
Non-Residential Customers</v>
      </c>
      <c r="C43" s="1" t="s">
        <v>35</v>
      </c>
      <c r="D43" s="1" t="s">
        <v>961</v>
      </c>
    </row>
    <row r="44" spans="1:4" ht="30" x14ac:dyDescent="0.25">
      <c r="A44" s="1" t="s">
        <v>923</v>
      </c>
      <c r="B44" s="1" t="str">
        <f t="shared" si="1"/>
        <v>Residential Customers
Non-Residential Customers</v>
      </c>
      <c r="C44" s="1" t="s">
        <v>35</v>
      </c>
      <c r="D44" s="1" t="s">
        <v>961</v>
      </c>
    </row>
    <row r="45" spans="1:4" ht="30" x14ac:dyDescent="0.25">
      <c r="A45" s="1" t="s">
        <v>60</v>
      </c>
      <c r="B45" s="1" t="str">
        <f t="shared" si="1"/>
        <v>Residential Customers
Non-Residential Customers</v>
      </c>
      <c r="C45" s="1" t="s">
        <v>35</v>
      </c>
      <c r="D45" s="1" t="s">
        <v>961</v>
      </c>
    </row>
    <row r="46" spans="1:4" ht="30" x14ac:dyDescent="0.25">
      <c r="A46" s="1" t="s">
        <v>205</v>
      </c>
      <c r="B46" s="1" t="str">
        <f t="shared" si="1"/>
        <v>Non-residential Customers</v>
      </c>
      <c r="D46" s="1" t="s">
        <v>44</v>
      </c>
    </row>
    <row r="47" spans="1:4" ht="30" x14ac:dyDescent="0.25">
      <c r="A47" s="1" t="s">
        <v>1230</v>
      </c>
      <c r="B47" s="1" t="str">
        <f t="shared" si="1"/>
        <v>Residential Customers
Non-Residential Customers</v>
      </c>
      <c r="C47" s="1" t="s">
        <v>35</v>
      </c>
      <c r="D47" s="1" t="s">
        <v>961</v>
      </c>
    </row>
    <row r="48" spans="1:4" ht="30" x14ac:dyDescent="0.25">
      <c r="A48" s="1" t="s">
        <v>199</v>
      </c>
      <c r="B48" s="1" t="str">
        <f t="shared" si="1"/>
        <v>Residential Customers
Non-Residential Customers</v>
      </c>
      <c r="C48" s="1" t="s">
        <v>35</v>
      </c>
      <c r="D48" s="1" t="s">
        <v>961</v>
      </c>
    </row>
    <row r="49" spans="1:4" ht="30" x14ac:dyDescent="0.25">
      <c r="A49" s="1" t="s">
        <v>865</v>
      </c>
      <c r="B49" s="1" t="str">
        <f t="shared" si="1"/>
        <v>Residential Customers</v>
      </c>
      <c r="C49" s="1" t="s">
        <v>35</v>
      </c>
    </row>
    <row r="50" spans="1:4" ht="30" x14ac:dyDescent="0.25">
      <c r="A50" s="1" t="s">
        <v>451</v>
      </c>
      <c r="B50" s="1" t="str">
        <f t="shared" si="1"/>
        <v>Residential Customers
Non-Residential Customers</v>
      </c>
      <c r="C50" s="1" t="s">
        <v>35</v>
      </c>
      <c r="D50" s="1" t="s">
        <v>961</v>
      </c>
    </row>
    <row r="51" spans="1:4" ht="30" x14ac:dyDescent="0.25">
      <c r="A51" s="1" t="s">
        <v>374</v>
      </c>
      <c r="B51" s="1" t="str">
        <f t="shared" si="1"/>
        <v>Residential Customers
Non-Residential Customers</v>
      </c>
      <c r="C51" s="1" t="s">
        <v>35</v>
      </c>
      <c r="D51" s="1" t="s">
        <v>961</v>
      </c>
    </row>
    <row r="52" spans="1:4" ht="30" x14ac:dyDescent="0.25">
      <c r="A52" s="1" t="s">
        <v>397</v>
      </c>
      <c r="B52" s="1" t="str">
        <f t="shared" si="1"/>
        <v>Residential Customers</v>
      </c>
      <c r="C52" s="1" t="s">
        <v>35</v>
      </c>
    </row>
    <row r="53" spans="1:4" x14ac:dyDescent="0.25">
      <c r="A53" s="1" t="s">
        <v>351</v>
      </c>
      <c r="B53" s="1" t="str">
        <f t="shared" si="1"/>
        <v/>
      </c>
    </row>
    <row r="54" spans="1:4" ht="30" x14ac:dyDescent="0.25">
      <c r="A54" s="1" t="s">
        <v>388</v>
      </c>
      <c r="B54" s="1" t="str">
        <f t="shared" si="1"/>
        <v>Residential Customers</v>
      </c>
      <c r="C54" s="1" t="s">
        <v>35</v>
      </c>
    </row>
    <row r="55" spans="1:4" x14ac:dyDescent="0.25">
      <c r="A55" s="1" t="s">
        <v>142</v>
      </c>
      <c r="B55" s="1" t="str">
        <f t="shared" si="1"/>
        <v/>
      </c>
    </row>
    <row r="56" spans="1:4" ht="30" x14ac:dyDescent="0.25">
      <c r="A56" s="1" t="s">
        <v>304</v>
      </c>
      <c r="B56" s="1" t="str">
        <f t="shared" si="1"/>
        <v>Residential Customers
Non-Residential Customers</v>
      </c>
      <c r="C56" s="1" t="s">
        <v>35</v>
      </c>
      <c r="D56" s="1" t="s">
        <v>961</v>
      </c>
    </row>
    <row r="57" spans="1:4" ht="30" x14ac:dyDescent="0.25">
      <c r="A57" s="1" t="s">
        <v>1215</v>
      </c>
      <c r="B57" s="1" t="str">
        <f t="shared" si="1"/>
        <v>Residential Customers</v>
      </c>
      <c r="C57" s="1" t="s">
        <v>35</v>
      </c>
    </row>
    <row r="58" spans="1:4" ht="30" x14ac:dyDescent="0.25">
      <c r="A58" s="1" t="s">
        <v>529</v>
      </c>
      <c r="B58" s="1" t="str">
        <f t="shared" si="1"/>
        <v>Residential Customers</v>
      </c>
      <c r="C58" s="1" t="s">
        <v>35</v>
      </c>
    </row>
    <row r="59" spans="1:4" ht="30" x14ac:dyDescent="0.25">
      <c r="A59" s="1" t="s">
        <v>911</v>
      </c>
      <c r="B59" s="1" t="str">
        <f t="shared" si="1"/>
        <v>Residential Customers</v>
      </c>
      <c r="C59" s="1" t="s">
        <v>35</v>
      </c>
    </row>
    <row r="60" spans="1:4" ht="30" x14ac:dyDescent="0.25">
      <c r="A60" s="1" t="s">
        <v>850</v>
      </c>
      <c r="B60" s="1" t="str">
        <f t="shared" si="1"/>
        <v>Residential Customers</v>
      </c>
      <c r="C60" s="1" t="s">
        <v>35</v>
      </c>
    </row>
    <row r="61" spans="1:4" ht="30" x14ac:dyDescent="0.25">
      <c r="A61" s="1" t="s">
        <v>938</v>
      </c>
      <c r="B61" s="1" t="str">
        <f t="shared" si="1"/>
        <v>Residential Customers
Non-Residential Customers</v>
      </c>
      <c r="C61" s="1" t="s">
        <v>35</v>
      </c>
      <c r="D61" s="1" t="s">
        <v>961</v>
      </c>
    </row>
    <row r="62" spans="1:4" ht="30" x14ac:dyDescent="0.25">
      <c r="A62" s="1" t="s">
        <v>321</v>
      </c>
      <c r="B62" s="1" t="str">
        <f t="shared" si="1"/>
        <v>Residential Customers</v>
      </c>
      <c r="C62" s="1" t="s">
        <v>35</v>
      </c>
    </row>
    <row r="63" spans="1:4" ht="30" x14ac:dyDescent="0.25">
      <c r="A63" s="1" t="s">
        <v>148</v>
      </c>
      <c r="B63" s="1" t="str">
        <f t="shared" si="1"/>
        <v>Residential Customers
Non-Residential Customers</v>
      </c>
      <c r="C63" s="1" t="s">
        <v>35</v>
      </c>
      <c r="D63" s="1" t="s">
        <v>961</v>
      </c>
    </row>
    <row r="64" spans="1:4" ht="30" x14ac:dyDescent="0.25">
      <c r="A64" s="1" t="s">
        <v>888</v>
      </c>
      <c r="B64" s="1" t="str">
        <f t="shared" si="1"/>
        <v>Residential Customers
Non-Residential Customers</v>
      </c>
      <c r="C64" s="1" t="s">
        <v>35</v>
      </c>
      <c r="D64" s="1" t="s">
        <v>961</v>
      </c>
    </row>
    <row r="65" spans="1:4" ht="30" x14ac:dyDescent="0.25">
      <c r="A65" s="1" t="s">
        <v>67</v>
      </c>
      <c r="B65" s="1" t="str">
        <f t="shared" si="1"/>
        <v>Residential Customers
Non-Residential Customers</v>
      </c>
      <c r="C65" s="1" t="s">
        <v>35</v>
      </c>
      <c r="D65" s="1" t="s">
        <v>961</v>
      </c>
    </row>
    <row r="66" spans="1:4" ht="30" x14ac:dyDescent="0.25">
      <c r="A66" s="1" t="s">
        <v>258</v>
      </c>
      <c r="B66" s="1" t="str">
        <f t="shared" si="1"/>
        <v>Residential Customers
Non-Residential Customers</v>
      </c>
      <c r="C66" s="1" t="s">
        <v>35</v>
      </c>
      <c r="D66" s="1" t="s">
        <v>961</v>
      </c>
    </row>
    <row r="67" spans="1:4" ht="30" x14ac:dyDescent="0.25">
      <c r="A67" s="1" t="s">
        <v>914</v>
      </c>
      <c r="B67" s="1" t="str">
        <f t="shared" si="1"/>
        <v>Residential Customers
Residential Customers</v>
      </c>
      <c r="C67" s="1" t="s">
        <v>35</v>
      </c>
      <c r="D67" s="1" t="s">
        <v>35</v>
      </c>
    </row>
    <row r="68" spans="1:4" ht="30" x14ac:dyDescent="0.25">
      <c r="A68" s="1" t="s">
        <v>917</v>
      </c>
      <c r="B68" s="1" t="str">
        <f t="shared" si="1"/>
        <v>Residential Customers
Non-Residential Customers</v>
      </c>
      <c r="C68" s="1" t="s">
        <v>35</v>
      </c>
      <c r="D68" s="1" t="s">
        <v>961</v>
      </c>
    </row>
    <row r="69" spans="1:4" ht="30" x14ac:dyDescent="0.25">
      <c r="A69" s="1" t="s">
        <v>391</v>
      </c>
      <c r="B69" s="1" t="str">
        <f t="shared" si="1"/>
        <v>Non-residential Customers</v>
      </c>
      <c r="D69" s="1" t="s">
        <v>44</v>
      </c>
    </row>
    <row r="70" spans="1:4" ht="30" x14ac:dyDescent="0.25">
      <c r="A70" s="1" t="s">
        <v>190</v>
      </c>
      <c r="B70" s="1" t="str">
        <f t="shared" si="1"/>
        <v>Residential Customers
Non-Residential Customers</v>
      </c>
      <c r="C70" s="1" t="s">
        <v>35</v>
      </c>
      <c r="D70" s="1" t="s">
        <v>961</v>
      </c>
    </row>
    <row r="71" spans="1:4" ht="30" x14ac:dyDescent="0.25">
      <c r="A71" s="1" t="s">
        <v>872</v>
      </c>
      <c r="B71" s="1" t="str">
        <f t="shared" si="1"/>
        <v>Residential Customers
Non-Residential Customers</v>
      </c>
      <c r="C71" s="1" t="s">
        <v>35</v>
      </c>
      <c r="D71" s="1" t="s">
        <v>961</v>
      </c>
    </row>
    <row r="72" spans="1:4" ht="30" x14ac:dyDescent="0.25">
      <c r="A72" s="1" t="s">
        <v>878</v>
      </c>
      <c r="B72" s="1" t="str">
        <f t="shared" si="1"/>
        <v>Residential Customers</v>
      </c>
      <c r="C72" s="1" t="s">
        <v>35</v>
      </c>
    </row>
    <row r="73" spans="1:4" ht="30" x14ac:dyDescent="0.25">
      <c r="A73" s="1" t="s">
        <v>153</v>
      </c>
      <c r="B73" s="1" t="str">
        <f t="shared" ref="B73:B136" si="2">_xlfn.TEXTJOIN(CHAR(10),TRUE,C73:D73)</f>
        <v>Residential Customers
Non-Residential Customers</v>
      </c>
      <c r="C73" s="1" t="s">
        <v>35</v>
      </c>
      <c r="D73" s="1" t="s">
        <v>961</v>
      </c>
    </row>
    <row r="74" spans="1:4" x14ac:dyDescent="0.25">
      <c r="A74" s="1" t="s">
        <v>330</v>
      </c>
      <c r="B74" s="1" t="str">
        <f t="shared" si="2"/>
        <v/>
      </c>
    </row>
    <row r="75" spans="1:4" ht="30" x14ac:dyDescent="0.25">
      <c r="A75" s="1" t="s">
        <v>532</v>
      </c>
      <c r="B75" s="1" t="str">
        <f t="shared" si="2"/>
        <v>Non-residential Customers</v>
      </c>
      <c r="D75" s="1" t="s">
        <v>44</v>
      </c>
    </row>
    <row r="76" spans="1:4" ht="30" x14ac:dyDescent="0.25">
      <c r="A76" s="1" t="s">
        <v>280</v>
      </c>
      <c r="B76" s="1" t="str">
        <f t="shared" si="2"/>
        <v>Residential Customers</v>
      </c>
      <c r="C76" s="1" t="s">
        <v>35</v>
      </c>
    </row>
    <row r="77" spans="1:4" ht="30" x14ac:dyDescent="0.25">
      <c r="A77" s="1" t="s">
        <v>211</v>
      </c>
      <c r="B77" s="1" t="str">
        <f t="shared" si="2"/>
        <v>Residential Customers
Non-Residential Customers</v>
      </c>
      <c r="C77" s="1" t="s">
        <v>35</v>
      </c>
      <c r="D77" s="1" t="s">
        <v>961</v>
      </c>
    </row>
    <row r="78" spans="1:4" ht="30" x14ac:dyDescent="0.25">
      <c r="A78" s="1" t="s">
        <v>896</v>
      </c>
      <c r="B78" s="1" t="str">
        <f t="shared" si="2"/>
        <v>Residential Customers
Non-Residential Customers</v>
      </c>
      <c r="C78" s="1" t="s">
        <v>35</v>
      </c>
      <c r="D78" s="1" t="s">
        <v>961</v>
      </c>
    </row>
    <row r="79" spans="1:4" ht="30" x14ac:dyDescent="0.25">
      <c r="A79" s="1" t="s">
        <v>853</v>
      </c>
      <c r="B79" s="1" t="str">
        <f t="shared" si="2"/>
        <v>Residential Customers</v>
      </c>
      <c r="C79" s="1" t="s">
        <v>35</v>
      </c>
    </row>
    <row r="80" spans="1:4" ht="30" x14ac:dyDescent="0.25">
      <c r="A80" s="1" t="s">
        <v>1216</v>
      </c>
      <c r="B80" s="1" t="str">
        <f t="shared" si="2"/>
        <v>Residential Customers</v>
      </c>
      <c r="C80" s="1" t="s">
        <v>35</v>
      </c>
    </row>
    <row r="81" spans="1:4" ht="30" x14ac:dyDescent="0.25">
      <c r="A81" s="1" t="s">
        <v>537</v>
      </c>
      <c r="B81" s="1" t="str">
        <f t="shared" si="2"/>
        <v>Residential Customers</v>
      </c>
      <c r="C81" s="1" t="s">
        <v>35</v>
      </c>
    </row>
    <row r="82" spans="1:4" ht="30" x14ac:dyDescent="0.25">
      <c r="A82" s="1" t="s">
        <v>526</v>
      </c>
      <c r="B82" s="1" t="str">
        <f t="shared" si="2"/>
        <v>Residential Customers
Non-Residential Customers</v>
      </c>
      <c r="C82" s="1" t="s">
        <v>35</v>
      </c>
      <c r="D82" s="1" t="s">
        <v>961</v>
      </c>
    </row>
    <row r="83" spans="1:4" ht="30" x14ac:dyDescent="0.25">
      <c r="A83" s="1" t="s">
        <v>275</v>
      </c>
      <c r="B83" s="1" t="str">
        <f t="shared" si="2"/>
        <v>Residential Customers
Non-Residential Customers</v>
      </c>
      <c r="C83" s="1" t="s">
        <v>35</v>
      </c>
      <c r="D83" s="1" t="s">
        <v>961</v>
      </c>
    </row>
    <row r="84" spans="1:4" ht="30" x14ac:dyDescent="0.25">
      <c r="A84" s="9" t="s">
        <v>253</v>
      </c>
      <c r="B84" s="1" t="str">
        <f t="shared" si="2"/>
        <v>Residential Customers</v>
      </c>
      <c r="C84" s="9" t="s">
        <v>35</v>
      </c>
      <c r="D84" s="9"/>
    </row>
    <row r="85" spans="1:4" x14ac:dyDescent="0.25">
      <c r="A85" s="1" t="s">
        <v>327</v>
      </c>
      <c r="B85" s="1" t="str">
        <f t="shared" si="2"/>
        <v/>
      </c>
    </row>
    <row r="86" spans="1:4" ht="30" x14ac:dyDescent="0.25">
      <c r="A86" s="1" t="s">
        <v>929</v>
      </c>
      <c r="B86" s="1" t="str">
        <f t="shared" si="2"/>
        <v>Non-residential Customers</v>
      </c>
      <c r="D86" s="1" t="s">
        <v>44</v>
      </c>
    </row>
    <row r="87" spans="1:4" ht="30" x14ac:dyDescent="0.25">
      <c r="A87" s="1" t="s">
        <v>876</v>
      </c>
      <c r="B87" s="1" t="str">
        <f t="shared" si="2"/>
        <v>Residential Customers
Non-Residential Customers</v>
      </c>
      <c r="C87" s="1" t="s">
        <v>35</v>
      </c>
      <c r="D87" s="1" t="s">
        <v>961</v>
      </c>
    </row>
    <row r="88" spans="1:4" ht="30" x14ac:dyDescent="0.25">
      <c r="A88" s="1" t="s">
        <v>323</v>
      </c>
      <c r="B88" s="1" t="str">
        <f t="shared" si="2"/>
        <v>Residential Customers
Non-Residential Customers</v>
      </c>
      <c r="C88" s="1" t="s">
        <v>35</v>
      </c>
      <c r="D88" s="1" t="s">
        <v>961</v>
      </c>
    </row>
    <row r="89" spans="1:4" ht="30" x14ac:dyDescent="0.25">
      <c r="A89" s="1" t="s">
        <v>930</v>
      </c>
      <c r="B89" s="1" t="str">
        <f t="shared" si="2"/>
        <v>Residential Customers</v>
      </c>
      <c r="C89" s="1" t="s">
        <v>35</v>
      </c>
    </row>
    <row r="90" spans="1:4" ht="30" x14ac:dyDescent="0.25">
      <c r="A90" s="1" t="s">
        <v>417</v>
      </c>
      <c r="B90" s="1" t="str">
        <f t="shared" si="2"/>
        <v>Non-residential Customers</v>
      </c>
      <c r="D90" s="1" t="s">
        <v>44</v>
      </c>
    </row>
    <row r="91" spans="1:4" ht="30" x14ac:dyDescent="0.25">
      <c r="A91" s="1" t="s">
        <v>519</v>
      </c>
      <c r="B91" s="1" t="str">
        <f t="shared" si="2"/>
        <v>Residential Customers
Non-Residential Customers</v>
      </c>
      <c r="C91" s="1" t="s">
        <v>35</v>
      </c>
      <c r="D91" s="1" t="s">
        <v>961</v>
      </c>
    </row>
    <row r="92" spans="1:4" ht="30" x14ac:dyDescent="0.25">
      <c r="A92" s="1" t="s">
        <v>487</v>
      </c>
      <c r="B92" s="1" t="str">
        <f t="shared" si="2"/>
        <v>Residential Customers
Non-Residential Customers</v>
      </c>
      <c r="C92" s="1" t="s">
        <v>35</v>
      </c>
      <c r="D92" s="1" t="s">
        <v>961</v>
      </c>
    </row>
    <row r="93" spans="1:4" ht="30" x14ac:dyDescent="0.25">
      <c r="A93" s="1" t="s">
        <v>307</v>
      </c>
      <c r="B93" s="1" t="str">
        <f t="shared" si="2"/>
        <v>Residential Customers</v>
      </c>
      <c r="C93" s="1" t="s">
        <v>35</v>
      </c>
    </row>
    <row r="94" spans="1:4" ht="30" x14ac:dyDescent="0.25">
      <c r="A94" s="1" t="s">
        <v>296</v>
      </c>
      <c r="B94" s="1" t="str">
        <f t="shared" si="2"/>
        <v>Residential Customers
Non-Residential Customers</v>
      </c>
      <c r="C94" s="1" t="s">
        <v>35</v>
      </c>
      <c r="D94" s="1" t="s">
        <v>961</v>
      </c>
    </row>
    <row r="95" spans="1:4" ht="30" x14ac:dyDescent="0.25">
      <c r="A95" s="1" t="s">
        <v>945</v>
      </c>
      <c r="B95" s="1" t="str">
        <f t="shared" si="2"/>
        <v>Residential Customers</v>
      </c>
      <c r="C95" s="1" t="s">
        <v>35</v>
      </c>
    </row>
    <row r="96" spans="1:4" ht="30" x14ac:dyDescent="0.25">
      <c r="A96" s="1" t="s">
        <v>261</v>
      </c>
      <c r="B96" s="1" t="str">
        <f t="shared" si="2"/>
        <v>Residential Customers
Non-Residential Customers</v>
      </c>
      <c r="C96" s="1" t="s">
        <v>35</v>
      </c>
      <c r="D96" s="1" t="s">
        <v>961</v>
      </c>
    </row>
    <row r="97" spans="1:4" ht="30" x14ac:dyDescent="0.25">
      <c r="A97" s="1" t="s">
        <v>892</v>
      </c>
      <c r="B97" s="1" t="str">
        <f t="shared" si="2"/>
        <v>Non-residential Customers</v>
      </c>
      <c r="D97" s="1" t="s">
        <v>44</v>
      </c>
    </row>
    <row r="98" spans="1:4" ht="30" x14ac:dyDescent="0.25">
      <c r="A98" s="1" t="s">
        <v>494</v>
      </c>
      <c r="B98" s="1" t="str">
        <f t="shared" si="2"/>
        <v>Residential Customers
Non-Residential Customers</v>
      </c>
      <c r="C98" s="1" t="s">
        <v>35</v>
      </c>
      <c r="D98" s="1" t="s">
        <v>961</v>
      </c>
    </row>
    <row r="99" spans="1:4" ht="30" x14ac:dyDescent="0.25">
      <c r="A99" s="1" t="s">
        <v>99</v>
      </c>
      <c r="B99" s="1" t="str">
        <f t="shared" si="2"/>
        <v>Residential Customers
Non-Residential Customers</v>
      </c>
      <c r="C99" s="1" t="s">
        <v>35</v>
      </c>
      <c r="D99" s="1" t="s">
        <v>961</v>
      </c>
    </row>
    <row r="100" spans="1:4" ht="30" x14ac:dyDescent="0.25">
      <c r="A100" s="1" t="s">
        <v>852</v>
      </c>
      <c r="B100" s="1" t="str">
        <f t="shared" si="2"/>
        <v>Non-residential Customers</v>
      </c>
      <c r="D100" s="1" t="s">
        <v>44</v>
      </c>
    </row>
    <row r="101" spans="1:4" ht="30" x14ac:dyDescent="0.25">
      <c r="A101" s="1" t="s">
        <v>167</v>
      </c>
      <c r="B101" s="1" t="str">
        <f t="shared" si="2"/>
        <v>Residential Customers
Non-residential Customers</v>
      </c>
      <c r="C101" s="1" t="s">
        <v>35</v>
      </c>
      <c r="D101" s="1" t="s">
        <v>44</v>
      </c>
    </row>
    <row r="102" spans="1:4" ht="30" x14ac:dyDescent="0.25">
      <c r="A102" s="1" t="s">
        <v>859</v>
      </c>
      <c r="B102" s="1" t="str">
        <f t="shared" si="2"/>
        <v>Residential Customers
Non-Residential Customers</v>
      </c>
      <c r="C102" s="1" t="s">
        <v>35</v>
      </c>
      <c r="D102" s="1" t="s">
        <v>961</v>
      </c>
    </row>
    <row r="103" spans="1:4" ht="30" x14ac:dyDescent="0.25">
      <c r="A103" s="1" t="s">
        <v>873</v>
      </c>
      <c r="B103" s="1" t="str">
        <f t="shared" si="2"/>
        <v>Non-residential Customers</v>
      </c>
      <c r="D103" s="1" t="s">
        <v>44</v>
      </c>
    </row>
    <row r="104" spans="1:4" ht="30" x14ac:dyDescent="0.25">
      <c r="A104" s="1" t="s">
        <v>946</v>
      </c>
      <c r="B104" s="1" t="str">
        <f t="shared" si="2"/>
        <v>Residential Customers
Non-Residential Customers</v>
      </c>
      <c r="C104" s="1" t="s">
        <v>35</v>
      </c>
      <c r="D104" s="1" t="s">
        <v>961</v>
      </c>
    </row>
    <row r="105" spans="1:4" ht="30" x14ac:dyDescent="0.25">
      <c r="A105" s="1" t="s">
        <v>485</v>
      </c>
      <c r="B105" s="1" t="str">
        <f t="shared" si="2"/>
        <v>Residential Customers
Non-Residential Customers</v>
      </c>
      <c r="C105" s="1" t="s">
        <v>35</v>
      </c>
      <c r="D105" s="1" t="s">
        <v>961</v>
      </c>
    </row>
    <row r="106" spans="1:4" ht="30" x14ac:dyDescent="0.25">
      <c r="A106" s="1" t="s">
        <v>115</v>
      </c>
      <c r="B106" s="1" t="str">
        <f t="shared" si="2"/>
        <v>Residential Customers</v>
      </c>
      <c r="C106" s="1" t="s">
        <v>35</v>
      </c>
    </row>
    <row r="107" spans="1:4" ht="30" x14ac:dyDescent="0.25">
      <c r="A107" s="1" t="s">
        <v>920</v>
      </c>
      <c r="B107" s="1" t="str">
        <f t="shared" si="2"/>
        <v>Non-residential Customers</v>
      </c>
      <c r="D107" s="1" t="s">
        <v>44</v>
      </c>
    </row>
    <row r="108" spans="1:4" ht="30" x14ac:dyDescent="0.25">
      <c r="A108" s="1" t="s">
        <v>916</v>
      </c>
      <c r="B108" s="1" t="str">
        <f t="shared" si="2"/>
        <v>Residential Customers
Non-Residential Customers</v>
      </c>
      <c r="C108" s="1" t="s">
        <v>35</v>
      </c>
      <c r="D108" s="1" t="s">
        <v>961</v>
      </c>
    </row>
    <row r="109" spans="1:4" ht="30" x14ac:dyDescent="0.25">
      <c r="A109" s="1" t="s">
        <v>134</v>
      </c>
      <c r="B109" s="1" t="str">
        <f t="shared" si="2"/>
        <v>Residential Customers</v>
      </c>
      <c r="C109" s="1" t="s">
        <v>35</v>
      </c>
    </row>
    <row r="110" spans="1:4" ht="30" x14ac:dyDescent="0.25">
      <c r="A110" s="1" t="s">
        <v>875</v>
      </c>
      <c r="B110" s="1" t="str">
        <f t="shared" si="2"/>
        <v>Residential Customers
Non-Residential Customers</v>
      </c>
      <c r="C110" s="1" t="s">
        <v>35</v>
      </c>
      <c r="D110" s="1" t="s">
        <v>961</v>
      </c>
    </row>
    <row r="111" spans="1:4" ht="30" x14ac:dyDescent="0.25">
      <c r="A111" s="1" t="s">
        <v>37</v>
      </c>
      <c r="B111" s="1" t="str">
        <f t="shared" si="2"/>
        <v>Residential Customers</v>
      </c>
      <c r="C111" s="1" t="s">
        <v>35</v>
      </c>
    </row>
    <row r="112" spans="1:4" ht="30" x14ac:dyDescent="0.25">
      <c r="A112" s="1" t="s">
        <v>220</v>
      </c>
      <c r="B112" s="1" t="str">
        <f t="shared" si="2"/>
        <v>Non-residential Customers</v>
      </c>
      <c r="D112" s="1" t="s">
        <v>44</v>
      </c>
    </row>
    <row r="113" spans="1:4" ht="30" x14ac:dyDescent="0.25">
      <c r="A113" s="1" t="s">
        <v>858</v>
      </c>
      <c r="B113" s="1" t="str">
        <f t="shared" si="2"/>
        <v>Residential Customers</v>
      </c>
      <c r="C113" s="1" t="s">
        <v>35</v>
      </c>
    </row>
    <row r="114" spans="1:4" ht="30" x14ac:dyDescent="0.25">
      <c r="A114" s="1" t="s">
        <v>272</v>
      </c>
      <c r="B114" s="1" t="str">
        <f t="shared" si="2"/>
        <v>Residential Customers</v>
      </c>
      <c r="C114" s="1" t="s">
        <v>35</v>
      </c>
    </row>
    <row r="115" spans="1:4" ht="30" x14ac:dyDescent="0.25">
      <c r="A115" s="1" t="s">
        <v>52</v>
      </c>
      <c r="B115" s="1" t="str">
        <f t="shared" si="2"/>
        <v>Residential Customers
Non-Residential Customers</v>
      </c>
      <c r="C115" s="1" t="s">
        <v>35</v>
      </c>
      <c r="D115" s="1" t="s">
        <v>961</v>
      </c>
    </row>
    <row r="116" spans="1:4" ht="30" x14ac:dyDescent="0.25">
      <c r="A116" s="1" t="s">
        <v>428</v>
      </c>
      <c r="B116" s="1" t="str">
        <f t="shared" si="2"/>
        <v>Residential Customers
Non-Residential Customers</v>
      </c>
      <c r="C116" s="1" t="s">
        <v>35</v>
      </c>
      <c r="D116" s="1" t="s">
        <v>961</v>
      </c>
    </row>
    <row r="117" spans="1:4" ht="30" x14ac:dyDescent="0.25">
      <c r="A117" s="1" t="s">
        <v>179</v>
      </c>
      <c r="B117" s="1" t="str">
        <f t="shared" si="2"/>
        <v>Residential Customers
Non-Residential Customers</v>
      </c>
      <c r="C117" s="1" t="s">
        <v>35</v>
      </c>
      <c r="D117" s="1" t="s">
        <v>961</v>
      </c>
    </row>
    <row r="118" spans="1:4" ht="30" x14ac:dyDescent="0.25">
      <c r="A118" s="1" t="s">
        <v>868</v>
      </c>
      <c r="B118" s="1" t="str">
        <f t="shared" si="2"/>
        <v>Residential Customers</v>
      </c>
      <c r="C118" s="1" t="s">
        <v>35</v>
      </c>
    </row>
    <row r="119" spans="1:4" ht="30" x14ac:dyDescent="0.25">
      <c r="A119" s="1" t="s">
        <v>234</v>
      </c>
      <c r="B119" s="1" t="str">
        <f t="shared" si="2"/>
        <v>Residential Customers</v>
      </c>
      <c r="C119" s="1" t="s">
        <v>35</v>
      </c>
    </row>
    <row r="120" spans="1:4" ht="30" x14ac:dyDescent="0.25">
      <c r="A120" s="1" t="s">
        <v>867</v>
      </c>
      <c r="B120" s="1" t="str">
        <f t="shared" si="2"/>
        <v>Residential Customers</v>
      </c>
      <c r="C120" s="1" t="s">
        <v>35</v>
      </c>
    </row>
    <row r="121" spans="1:4" ht="30" x14ac:dyDescent="0.25">
      <c r="A121" s="1" t="s">
        <v>879</v>
      </c>
      <c r="B121" s="1" t="str">
        <f t="shared" si="2"/>
        <v>Residential Customers
Non-residential Customers</v>
      </c>
      <c r="C121" s="1" t="s">
        <v>35</v>
      </c>
      <c r="D121" s="1" t="s">
        <v>44</v>
      </c>
    </row>
    <row r="122" spans="1:4" ht="30" x14ac:dyDescent="0.25">
      <c r="A122" s="1" t="s">
        <v>908</v>
      </c>
      <c r="B122" s="1" t="str">
        <f t="shared" si="2"/>
        <v>Residential Customers
Non-Residential Customers</v>
      </c>
      <c r="C122" s="1" t="s">
        <v>35</v>
      </c>
      <c r="D122" s="1" t="s">
        <v>961</v>
      </c>
    </row>
    <row r="123" spans="1:4" ht="30" x14ac:dyDescent="0.25">
      <c r="A123" s="1" t="s">
        <v>75</v>
      </c>
      <c r="B123" s="1" t="str">
        <f t="shared" si="2"/>
        <v>Residential Customers
Non-Residential Customers</v>
      </c>
      <c r="C123" s="1" t="s">
        <v>35</v>
      </c>
      <c r="D123" s="1" t="s">
        <v>961</v>
      </c>
    </row>
    <row r="124" spans="1:4" ht="30" x14ac:dyDescent="0.25">
      <c r="A124" s="1" t="s">
        <v>41</v>
      </c>
      <c r="B124" s="1" t="str">
        <f t="shared" si="2"/>
        <v>Residential Customers
Non-Residential Customers</v>
      </c>
      <c r="C124" s="1" t="s">
        <v>35</v>
      </c>
      <c r="D124" s="1" t="s">
        <v>961</v>
      </c>
    </row>
    <row r="125" spans="1:4" ht="30" x14ac:dyDescent="0.25">
      <c r="A125" s="1" t="s">
        <v>267</v>
      </c>
      <c r="B125" s="1" t="str">
        <f t="shared" si="2"/>
        <v>Residential Customers
Non-Residential Customers</v>
      </c>
      <c r="C125" s="1" t="s">
        <v>35</v>
      </c>
      <c r="D125" s="1" t="s">
        <v>961</v>
      </c>
    </row>
    <row r="126" spans="1:4" ht="30" x14ac:dyDescent="0.25">
      <c r="A126" s="1" t="s">
        <v>109</v>
      </c>
      <c r="B126" s="1" t="str">
        <f t="shared" si="2"/>
        <v>Residential Customers</v>
      </c>
      <c r="C126" s="1" t="s">
        <v>35</v>
      </c>
    </row>
    <row r="127" spans="1:4" ht="30" x14ac:dyDescent="0.25">
      <c r="A127" s="1" t="s">
        <v>895</v>
      </c>
      <c r="B127" s="1" t="str">
        <f t="shared" si="2"/>
        <v>Residential Customers
Non-Residential Customers</v>
      </c>
      <c r="C127" s="1" t="s">
        <v>35</v>
      </c>
      <c r="D127" s="1" t="s">
        <v>961</v>
      </c>
    </row>
    <row r="128" spans="1:4" ht="30" x14ac:dyDescent="0.25">
      <c r="A128" s="1" t="s">
        <v>932</v>
      </c>
      <c r="B128" s="1" t="str">
        <f t="shared" si="2"/>
        <v>Residential Customers
Non-Residential Customers</v>
      </c>
      <c r="C128" s="1" t="s">
        <v>35</v>
      </c>
      <c r="D128" s="1" t="s">
        <v>961</v>
      </c>
    </row>
    <row r="129" spans="1:4" ht="30" x14ac:dyDescent="0.25">
      <c r="A129" s="1" t="s">
        <v>889</v>
      </c>
      <c r="B129" s="1" t="str">
        <f t="shared" si="2"/>
        <v>Residential Customers
Non-Residential Customers</v>
      </c>
      <c r="C129" s="1" t="s">
        <v>35</v>
      </c>
      <c r="D129" s="1" t="s">
        <v>961</v>
      </c>
    </row>
    <row r="130" spans="1:4" ht="30" x14ac:dyDescent="0.25">
      <c r="A130" s="1" t="s">
        <v>125</v>
      </c>
      <c r="B130" s="1" t="str">
        <f t="shared" si="2"/>
        <v>Residential Customers
Non-Residential Customers</v>
      </c>
      <c r="C130" s="1" t="s">
        <v>35</v>
      </c>
      <c r="D130" s="1" t="s">
        <v>961</v>
      </c>
    </row>
    <row r="131" spans="1:4" ht="30" x14ac:dyDescent="0.25">
      <c r="A131" s="1" t="s">
        <v>595</v>
      </c>
      <c r="B131" s="1" t="str">
        <f t="shared" si="2"/>
        <v>Residential Customers
Non-Residential Customers</v>
      </c>
      <c r="C131" s="1" t="s">
        <v>35</v>
      </c>
      <c r="D131" s="1" t="s">
        <v>961</v>
      </c>
    </row>
    <row r="132" spans="1:4" x14ac:dyDescent="0.25">
      <c r="A132" s="1" t="s">
        <v>448</v>
      </c>
      <c r="B132" s="1" t="str">
        <f t="shared" si="2"/>
        <v/>
      </c>
    </row>
    <row r="133" spans="1:4" ht="30" x14ac:dyDescent="0.25">
      <c r="A133" s="1" t="s">
        <v>187</v>
      </c>
      <c r="B133" s="1" t="str">
        <f t="shared" si="2"/>
        <v>Residential Customers</v>
      </c>
      <c r="C133" s="1" t="s">
        <v>35</v>
      </c>
    </row>
    <row r="134" spans="1:4" ht="30" x14ac:dyDescent="0.25">
      <c r="A134" s="1" t="s">
        <v>860</v>
      </c>
      <c r="B134" s="1" t="str">
        <f t="shared" si="2"/>
        <v>Residential Customers</v>
      </c>
      <c r="C134" s="1" t="s">
        <v>35</v>
      </c>
    </row>
    <row r="135" spans="1:4" ht="30" x14ac:dyDescent="0.25">
      <c r="A135" s="1" t="s">
        <v>83</v>
      </c>
      <c r="B135" s="1" t="str">
        <f t="shared" si="2"/>
        <v>Residential Customers
Non-Residential Customers</v>
      </c>
      <c r="C135" s="1" t="s">
        <v>35</v>
      </c>
      <c r="D135" s="1" t="s">
        <v>961</v>
      </c>
    </row>
    <row r="136" spans="1:4" ht="30" x14ac:dyDescent="0.25">
      <c r="A136" s="1" t="s">
        <v>357</v>
      </c>
      <c r="B136" s="1" t="str">
        <f t="shared" si="2"/>
        <v>Residential Customers</v>
      </c>
      <c r="C136" s="1" t="s">
        <v>35</v>
      </c>
    </row>
    <row r="137" spans="1:4" ht="30" x14ac:dyDescent="0.25">
      <c r="A137" s="1" t="s">
        <v>413</v>
      </c>
      <c r="B137" s="1" t="str">
        <f t="shared" ref="B137:B200" si="3">_xlfn.TEXTJOIN(CHAR(10),TRUE,C137:D137)</f>
        <v>Residential Customers</v>
      </c>
      <c r="C137" s="1" t="s">
        <v>35</v>
      </c>
    </row>
    <row r="138" spans="1:4" ht="30" x14ac:dyDescent="0.25">
      <c r="A138" s="1" t="s">
        <v>250</v>
      </c>
      <c r="B138" s="1" t="str">
        <f t="shared" si="3"/>
        <v>Residential Customers
Non-Residential Customers</v>
      </c>
      <c r="C138" s="1" t="s">
        <v>35</v>
      </c>
      <c r="D138" s="1" t="s">
        <v>961</v>
      </c>
    </row>
    <row r="139" spans="1:4" ht="30" x14ac:dyDescent="0.25">
      <c r="A139" s="1" t="s">
        <v>900</v>
      </c>
      <c r="B139" s="1" t="str">
        <f t="shared" si="3"/>
        <v>Residential Customers
Non-Residential Customers</v>
      </c>
      <c r="C139" s="1" t="s">
        <v>35</v>
      </c>
      <c r="D139" s="1" t="s">
        <v>961</v>
      </c>
    </row>
    <row r="140" spans="1:4" ht="30" x14ac:dyDescent="0.25">
      <c r="A140" s="1" t="s">
        <v>136</v>
      </c>
      <c r="B140" s="1" t="str">
        <f t="shared" si="3"/>
        <v>Residential Customers
Non-Residential Customers</v>
      </c>
      <c r="C140" s="1" t="s">
        <v>35</v>
      </c>
      <c r="D140" s="1" t="s">
        <v>961</v>
      </c>
    </row>
    <row r="141" spans="1:4" ht="30" x14ac:dyDescent="0.25">
      <c r="A141" s="1" t="s">
        <v>535</v>
      </c>
      <c r="B141" s="1" t="str">
        <f t="shared" si="3"/>
        <v>Non-residential Customers</v>
      </c>
      <c r="D141" s="1" t="s">
        <v>44</v>
      </c>
    </row>
    <row r="142" spans="1:4" ht="30" x14ac:dyDescent="0.25">
      <c r="A142" s="1" t="s">
        <v>951</v>
      </c>
      <c r="B142" s="1" t="str">
        <f t="shared" si="3"/>
        <v>Residential Customers</v>
      </c>
      <c r="C142" s="1" t="s">
        <v>35</v>
      </c>
    </row>
    <row r="143" spans="1:4" ht="30" x14ac:dyDescent="0.25">
      <c r="A143" s="1" t="s">
        <v>145</v>
      </c>
      <c r="B143" s="1" t="str">
        <f t="shared" si="3"/>
        <v>Residential Customers
Non-residential Customers</v>
      </c>
      <c r="C143" s="1" t="s">
        <v>35</v>
      </c>
      <c r="D143" s="1" t="s">
        <v>44</v>
      </c>
    </row>
    <row r="144" spans="1:4" ht="30" x14ac:dyDescent="0.25">
      <c r="A144" s="1" t="s">
        <v>948</v>
      </c>
      <c r="B144" s="1" t="str">
        <f t="shared" si="3"/>
        <v>Residential Customers</v>
      </c>
      <c r="C144" s="1" t="s">
        <v>35</v>
      </c>
    </row>
    <row r="145" spans="1:4" ht="30" x14ac:dyDescent="0.25">
      <c r="A145" s="1" t="s">
        <v>880</v>
      </c>
      <c r="B145" s="1" t="str">
        <f t="shared" si="3"/>
        <v>Residential Customers</v>
      </c>
      <c r="C145" s="1" t="s">
        <v>35</v>
      </c>
    </row>
    <row r="146" spans="1:4" ht="30" x14ac:dyDescent="0.25">
      <c r="A146" s="1" t="s">
        <v>431</v>
      </c>
      <c r="B146" s="1" t="str">
        <f t="shared" si="3"/>
        <v>Residential Customers</v>
      </c>
      <c r="C146" s="1" t="s">
        <v>35</v>
      </c>
    </row>
    <row r="147" spans="1:4" ht="30" x14ac:dyDescent="0.25">
      <c r="A147" s="1" t="s">
        <v>363</v>
      </c>
      <c r="B147" s="1" t="str">
        <f t="shared" si="3"/>
        <v>Residential Customers
Non-Residential Customers</v>
      </c>
      <c r="C147" s="1" t="s">
        <v>35</v>
      </c>
      <c r="D147" s="1" t="s">
        <v>961</v>
      </c>
    </row>
    <row r="148" spans="1:4" ht="30" x14ac:dyDescent="0.25">
      <c r="A148" s="1" t="s">
        <v>468</v>
      </c>
      <c r="B148" s="1" t="str">
        <f t="shared" si="3"/>
        <v>Residential Customers
Non-Residential Customers</v>
      </c>
      <c r="C148" s="1" t="s">
        <v>35</v>
      </c>
      <c r="D148" s="1" t="s">
        <v>961</v>
      </c>
    </row>
    <row r="149" spans="1:4" ht="30" x14ac:dyDescent="0.25">
      <c r="A149" s="1" t="s">
        <v>935</v>
      </c>
      <c r="B149" s="1" t="str">
        <f t="shared" si="3"/>
        <v>Residential Customers</v>
      </c>
      <c r="C149" s="1" t="s">
        <v>35</v>
      </c>
    </row>
    <row r="150" spans="1:4" ht="30" x14ac:dyDescent="0.25">
      <c r="A150" s="1" t="s">
        <v>1036</v>
      </c>
      <c r="B150" s="1" t="str">
        <f t="shared" si="3"/>
        <v>Residential Customers
Non-Residential Customers</v>
      </c>
      <c r="C150" s="1" t="s">
        <v>35</v>
      </c>
      <c r="D150" s="1" t="s">
        <v>961</v>
      </c>
    </row>
    <row r="151" spans="1:4" ht="30" x14ac:dyDescent="0.25">
      <c r="A151" s="1" t="s">
        <v>264</v>
      </c>
      <c r="B151" s="1" t="str">
        <f t="shared" si="3"/>
        <v>Residential Customers</v>
      </c>
      <c r="C151" s="1" t="s">
        <v>35</v>
      </c>
    </row>
    <row r="152" spans="1:4" ht="30" x14ac:dyDescent="0.25">
      <c r="A152" s="1" t="s">
        <v>286</v>
      </c>
      <c r="B152" s="1" t="str">
        <f t="shared" si="3"/>
        <v>Residential Customers
Non-Residential Customers</v>
      </c>
      <c r="C152" s="1" t="s">
        <v>35</v>
      </c>
      <c r="D152" s="1" t="s">
        <v>961</v>
      </c>
    </row>
    <row r="153" spans="1:4" ht="30" x14ac:dyDescent="0.25">
      <c r="A153" s="1" t="s">
        <v>983</v>
      </c>
      <c r="B153" s="1" t="str">
        <f t="shared" si="3"/>
        <v>Residential Customers
Non-Residential Customers</v>
      </c>
      <c r="C153" s="1" t="s">
        <v>35</v>
      </c>
      <c r="D153" s="1" t="s">
        <v>961</v>
      </c>
    </row>
    <row r="154" spans="1:4" ht="30" x14ac:dyDescent="0.25">
      <c r="A154" s="1" t="s">
        <v>903</v>
      </c>
      <c r="B154" s="1" t="str">
        <f t="shared" si="3"/>
        <v>Non-residential Customers</v>
      </c>
      <c r="D154" s="1" t="s">
        <v>44</v>
      </c>
    </row>
    <row r="155" spans="1:4" ht="30" x14ac:dyDescent="0.25">
      <c r="A155" s="1" t="s">
        <v>559</v>
      </c>
      <c r="B155" s="1" t="str">
        <f t="shared" si="3"/>
        <v>Residential Customers</v>
      </c>
      <c r="C155" s="1" t="s">
        <v>35</v>
      </c>
    </row>
    <row r="156" spans="1:4" ht="30" x14ac:dyDescent="0.25">
      <c r="A156" s="1" t="s">
        <v>156</v>
      </c>
      <c r="B156" s="1" t="str">
        <f t="shared" si="3"/>
        <v>Residential Customers</v>
      </c>
      <c r="C156" s="1" t="s">
        <v>35</v>
      </c>
    </row>
    <row r="157" spans="1:4" ht="30" x14ac:dyDescent="0.25">
      <c r="A157" s="1" t="s">
        <v>910</v>
      </c>
      <c r="B157" s="1" t="str">
        <f t="shared" si="3"/>
        <v>Residential Customers
Non-Residential Customers</v>
      </c>
      <c r="C157" s="1" t="s">
        <v>35</v>
      </c>
      <c r="D157" s="1" t="s">
        <v>961</v>
      </c>
    </row>
    <row r="158" spans="1:4" ht="30" x14ac:dyDescent="0.25">
      <c r="A158" s="1" t="s">
        <v>921</v>
      </c>
      <c r="B158" s="1" t="str">
        <f t="shared" si="3"/>
        <v>Residential Customers
Non-Residential Customers</v>
      </c>
      <c r="C158" s="1" t="s">
        <v>35</v>
      </c>
      <c r="D158" s="1" t="s">
        <v>961</v>
      </c>
    </row>
    <row r="159" spans="1:4" ht="30" x14ac:dyDescent="0.25">
      <c r="A159" s="1" t="s">
        <v>940</v>
      </c>
      <c r="B159" s="1" t="str">
        <f t="shared" si="3"/>
        <v>Residential Customers
Non-Residential Customers</v>
      </c>
      <c r="C159" s="1" t="s">
        <v>35</v>
      </c>
      <c r="D159" s="1" t="s">
        <v>961</v>
      </c>
    </row>
    <row r="160" spans="1:4" ht="30" x14ac:dyDescent="0.25">
      <c r="A160" s="1" t="s">
        <v>484</v>
      </c>
      <c r="B160" s="1" t="str">
        <f t="shared" si="3"/>
        <v>Residential Customers
Non-Residential Customers</v>
      </c>
      <c r="C160" s="1" t="s">
        <v>35</v>
      </c>
      <c r="D160" s="1" t="s">
        <v>961</v>
      </c>
    </row>
    <row r="161" spans="1:4" ht="30" x14ac:dyDescent="0.25">
      <c r="A161" s="1" t="s">
        <v>909</v>
      </c>
      <c r="B161" s="1" t="str">
        <f t="shared" si="3"/>
        <v>Residential Customers
Non-Residential Customers</v>
      </c>
      <c r="C161" s="1" t="s">
        <v>35</v>
      </c>
      <c r="D161" s="1" t="s">
        <v>961</v>
      </c>
    </row>
    <row r="162" spans="1:4" ht="30" x14ac:dyDescent="0.25">
      <c r="A162" s="1" t="s">
        <v>439</v>
      </c>
      <c r="B162" s="1" t="str">
        <f t="shared" si="3"/>
        <v>Residential Customers</v>
      </c>
      <c r="C162" s="1" t="s">
        <v>35</v>
      </c>
    </row>
    <row r="163" spans="1:4" ht="30" x14ac:dyDescent="0.25">
      <c r="A163" s="1" t="s">
        <v>541</v>
      </c>
      <c r="B163" s="1" t="str">
        <f t="shared" si="3"/>
        <v>Residential Customers
Non-Residential Customers</v>
      </c>
      <c r="C163" s="1" t="s">
        <v>35</v>
      </c>
      <c r="D163" s="1" t="s">
        <v>961</v>
      </c>
    </row>
    <row r="164" spans="1:4" ht="30" x14ac:dyDescent="0.25">
      <c r="A164" s="1" t="s">
        <v>423</v>
      </c>
      <c r="B164" s="1" t="str">
        <f t="shared" si="3"/>
        <v>Non-residential Customers</v>
      </c>
      <c r="D164" s="1" t="s">
        <v>44</v>
      </c>
    </row>
    <row r="165" spans="1:4" ht="30" x14ac:dyDescent="0.25">
      <c r="A165" s="1" t="s">
        <v>354</v>
      </c>
      <c r="B165" s="1" t="str">
        <f t="shared" si="3"/>
        <v>Residential Customers</v>
      </c>
      <c r="C165" s="1" t="s">
        <v>35</v>
      </c>
    </row>
    <row r="166" spans="1:4" ht="30" x14ac:dyDescent="0.25">
      <c r="A166" s="1" t="s">
        <v>278</v>
      </c>
      <c r="B166" s="1" t="str">
        <f t="shared" si="3"/>
        <v>Residential Customers
Non-Residential Customers</v>
      </c>
      <c r="C166" s="1" t="s">
        <v>35</v>
      </c>
      <c r="D166" s="1" t="s">
        <v>961</v>
      </c>
    </row>
    <row r="167" spans="1:4" ht="30" x14ac:dyDescent="0.25">
      <c r="A167" s="1" t="s">
        <v>341</v>
      </c>
      <c r="B167" s="1" t="str">
        <f t="shared" si="3"/>
        <v>Residential Customers
Non-Residential Customers</v>
      </c>
      <c r="C167" s="1" t="s">
        <v>35</v>
      </c>
      <c r="D167" s="1" t="s">
        <v>961</v>
      </c>
    </row>
    <row r="168" spans="1:4" ht="30" x14ac:dyDescent="0.25">
      <c r="A168" s="1" t="s">
        <v>854</v>
      </c>
      <c r="B168" s="1" t="str">
        <f t="shared" si="3"/>
        <v>Residential Customers
Non-residential Customers</v>
      </c>
      <c r="C168" s="1" t="s">
        <v>35</v>
      </c>
      <c r="D168" s="1" t="s">
        <v>44</v>
      </c>
    </row>
    <row r="169" spans="1:4" ht="30" x14ac:dyDescent="0.25">
      <c r="A169" s="1" t="s">
        <v>312</v>
      </c>
      <c r="B169" s="1" t="str">
        <f t="shared" si="3"/>
        <v>Residential Customers</v>
      </c>
      <c r="C169" s="1" t="s">
        <v>35</v>
      </c>
    </row>
    <row r="170" spans="1:4" ht="30" x14ac:dyDescent="0.25">
      <c r="A170" s="1" t="s">
        <v>465</v>
      </c>
      <c r="B170" s="1" t="str">
        <f t="shared" si="3"/>
        <v>Residential Customers</v>
      </c>
      <c r="C170" s="1" t="s">
        <v>35</v>
      </c>
    </row>
    <row r="171" spans="1:4" ht="30" x14ac:dyDescent="0.25">
      <c r="A171" s="1" t="s">
        <v>394</v>
      </c>
      <c r="B171" s="1" t="str">
        <f t="shared" si="3"/>
        <v>Residential Customers
Non-Residential Customers</v>
      </c>
      <c r="C171" s="1" t="s">
        <v>35</v>
      </c>
      <c r="D171" s="1" t="s">
        <v>961</v>
      </c>
    </row>
    <row r="172" spans="1:4" ht="30" x14ac:dyDescent="0.25">
      <c r="A172" s="1" t="s">
        <v>890</v>
      </c>
      <c r="B172" s="1" t="str">
        <f t="shared" si="3"/>
        <v>Residential Customers</v>
      </c>
      <c r="C172" s="1" t="s">
        <v>35</v>
      </c>
    </row>
    <row r="173" spans="1:4" ht="30" x14ac:dyDescent="0.25">
      <c r="A173" s="1" t="s">
        <v>171</v>
      </c>
      <c r="B173" s="1" t="str">
        <f t="shared" si="3"/>
        <v>Non-residential Customers</v>
      </c>
      <c r="D173" s="1" t="s">
        <v>44</v>
      </c>
    </row>
    <row r="174" spans="1:4" ht="30" x14ac:dyDescent="0.25">
      <c r="A174" s="1" t="s">
        <v>405</v>
      </c>
      <c r="B174" s="1" t="str">
        <f t="shared" si="3"/>
        <v>Residential Customers
Non-Residential Customers</v>
      </c>
      <c r="C174" s="1" t="s">
        <v>35</v>
      </c>
      <c r="D174" s="1" t="s">
        <v>961</v>
      </c>
    </row>
    <row r="175" spans="1:4" ht="30" x14ac:dyDescent="0.25">
      <c r="A175" s="1" t="s">
        <v>237</v>
      </c>
      <c r="B175" s="1" t="str">
        <f t="shared" si="3"/>
        <v>Residential Customers
Non-Residential Customers</v>
      </c>
      <c r="C175" s="1" t="s">
        <v>35</v>
      </c>
      <c r="D175" s="1" t="s">
        <v>961</v>
      </c>
    </row>
    <row r="176" spans="1:4" ht="30" x14ac:dyDescent="0.25">
      <c r="A176" s="1" t="s">
        <v>290</v>
      </c>
      <c r="B176" s="1" t="str">
        <f t="shared" si="3"/>
        <v>Residential Customers
Non-Residential Customers</v>
      </c>
      <c r="C176" s="1" t="s">
        <v>35</v>
      </c>
      <c r="D176" s="1" t="s">
        <v>961</v>
      </c>
    </row>
    <row r="177" spans="1:4" ht="30" x14ac:dyDescent="0.25">
      <c r="A177" s="1" t="s">
        <v>630</v>
      </c>
      <c r="B177" s="1" t="str">
        <f t="shared" si="3"/>
        <v>Residential Customers</v>
      </c>
      <c r="C177" s="1" t="s">
        <v>35</v>
      </c>
    </row>
    <row r="178" spans="1:4" ht="30" x14ac:dyDescent="0.25">
      <c r="A178" s="1" t="s">
        <v>139</v>
      </c>
      <c r="B178" s="1" t="str">
        <f t="shared" si="3"/>
        <v>Residential Customers
Non-Residential Customers</v>
      </c>
      <c r="C178" s="1" t="s">
        <v>35</v>
      </c>
      <c r="D178" s="1" t="s">
        <v>961</v>
      </c>
    </row>
    <row r="179" spans="1:4" ht="30" x14ac:dyDescent="0.25">
      <c r="A179" s="1" t="s">
        <v>886</v>
      </c>
      <c r="B179" s="1" t="str">
        <f t="shared" si="3"/>
        <v>Non-residential Customers</v>
      </c>
      <c r="D179" s="1" t="s">
        <v>44</v>
      </c>
    </row>
    <row r="180" spans="1:4" ht="30" x14ac:dyDescent="0.25">
      <c r="A180" s="1" t="s">
        <v>934</v>
      </c>
      <c r="B180" s="1" t="str">
        <f t="shared" si="3"/>
        <v>Residential Customers
Non-Residential Customers</v>
      </c>
      <c r="C180" s="1" t="s">
        <v>35</v>
      </c>
      <c r="D180" s="1" t="s">
        <v>961</v>
      </c>
    </row>
    <row r="181" spans="1:4" ht="30" x14ac:dyDescent="0.25">
      <c r="A181" s="1" t="s">
        <v>562</v>
      </c>
      <c r="B181" s="1" t="str">
        <f t="shared" si="3"/>
        <v>Non-residential Customers</v>
      </c>
      <c r="D181" s="1" t="s">
        <v>44</v>
      </c>
    </row>
    <row r="182" spans="1:4" ht="30" x14ac:dyDescent="0.25">
      <c r="A182" s="1" t="s">
        <v>933</v>
      </c>
      <c r="B182" s="1" t="str">
        <f t="shared" si="3"/>
        <v>Non-residential Customers</v>
      </c>
      <c r="D182" s="1" t="s">
        <v>44</v>
      </c>
    </row>
    <row r="183" spans="1:4" ht="30" x14ac:dyDescent="0.25">
      <c r="A183" s="1" t="s">
        <v>874</v>
      </c>
      <c r="B183" s="1" t="str">
        <f t="shared" si="3"/>
        <v>Residential Customers
Non-Residential Customers</v>
      </c>
      <c r="C183" s="1" t="s">
        <v>35</v>
      </c>
      <c r="D183" s="1" t="s">
        <v>961</v>
      </c>
    </row>
    <row r="184" spans="1:4" ht="30" x14ac:dyDescent="0.25">
      <c r="A184" s="1" t="s">
        <v>893</v>
      </c>
      <c r="B184" s="1" t="str">
        <f t="shared" si="3"/>
        <v>Non-residential Customers</v>
      </c>
      <c r="D184" s="1" t="s">
        <v>44</v>
      </c>
    </row>
    <row r="185" spans="1:4" ht="30" x14ac:dyDescent="0.25">
      <c r="A185" s="1" t="s">
        <v>491</v>
      </c>
      <c r="B185" s="1" t="str">
        <f t="shared" si="3"/>
        <v>Residential Customers</v>
      </c>
      <c r="C185" s="1" t="s">
        <v>35</v>
      </c>
    </row>
    <row r="186" spans="1:4" ht="30" x14ac:dyDescent="0.25">
      <c r="A186" s="1" t="s">
        <v>64</v>
      </c>
      <c r="B186" s="1" t="str">
        <f t="shared" si="3"/>
        <v>Residential Customers</v>
      </c>
      <c r="C186" s="1" t="s">
        <v>35</v>
      </c>
    </row>
    <row r="187" spans="1:4" ht="30" x14ac:dyDescent="0.25">
      <c r="A187" s="1" t="s">
        <v>91</v>
      </c>
      <c r="B187" s="1" t="str">
        <f t="shared" si="3"/>
        <v>Residential Customers
Non-Residential Customers</v>
      </c>
      <c r="C187" s="1" t="s">
        <v>35</v>
      </c>
      <c r="D187" s="1" t="s">
        <v>961</v>
      </c>
    </row>
    <row r="188" spans="1:4" ht="30" x14ac:dyDescent="0.25">
      <c r="A188" s="1" t="s">
        <v>922</v>
      </c>
      <c r="B188" s="1" t="str">
        <f t="shared" si="3"/>
        <v>Residential Customers
Non-Residential Customers</v>
      </c>
      <c r="C188" s="1" t="s">
        <v>35</v>
      </c>
      <c r="D188" s="1" t="s">
        <v>961</v>
      </c>
    </row>
    <row r="189" spans="1:4" ht="30" x14ac:dyDescent="0.25">
      <c r="A189" s="1" t="s">
        <v>864</v>
      </c>
      <c r="B189" s="1" t="str">
        <f t="shared" si="3"/>
        <v>Residential Customers
Non-Residential Customers</v>
      </c>
      <c r="C189" s="1" t="s">
        <v>35</v>
      </c>
      <c r="D189" s="1" t="s">
        <v>961</v>
      </c>
    </row>
    <row r="190" spans="1:4" ht="30" x14ac:dyDescent="0.25">
      <c r="A190" s="1" t="s">
        <v>897</v>
      </c>
      <c r="B190" s="1" t="str">
        <f t="shared" si="3"/>
        <v>Residential Customers
Non-Residential Customers</v>
      </c>
      <c r="C190" s="1" t="s">
        <v>35</v>
      </c>
      <c r="D190" s="1" t="s">
        <v>961</v>
      </c>
    </row>
    <row r="191" spans="1:4" ht="30" x14ac:dyDescent="0.25">
      <c r="A191" s="1" t="s">
        <v>454</v>
      </c>
      <c r="B191" s="1" t="str">
        <f t="shared" si="3"/>
        <v>Residential Customers</v>
      </c>
      <c r="C191" s="1" t="s">
        <v>35</v>
      </c>
    </row>
    <row r="192" spans="1:4" ht="30" x14ac:dyDescent="0.25">
      <c r="A192" s="1" t="s">
        <v>905</v>
      </c>
      <c r="B192" s="1" t="str">
        <f t="shared" si="3"/>
        <v>Residential Customers
Non-Residential Customers</v>
      </c>
      <c r="C192" s="1" t="s">
        <v>35</v>
      </c>
      <c r="D192" s="1" t="s">
        <v>961</v>
      </c>
    </row>
    <row r="193" spans="1:4" ht="30" x14ac:dyDescent="0.25">
      <c r="A193" s="1" t="s">
        <v>953</v>
      </c>
      <c r="B193" s="1" t="str">
        <f t="shared" si="3"/>
        <v>Residential Customers</v>
      </c>
      <c r="C193" s="1" t="s">
        <v>35</v>
      </c>
    </row>
    <row r="194" spans="1:4" ht="30" x14ac:dyDescent="0.25">
      <c r="A194" s="1" t="s">
        <v>106</v>
      </c>
      <c r="B194" s="1" t="str">
        <f t="shared" si="3"/>
        <v>Residential Customers</v>
      </c>
      <c r="C194" s="1" t="s">
        <v>35</v>
      </c>
    </row>
    <row r="195" spans="1:4" ht="30" x14ac:dyDescent="0.25">
      <c r="A195" s="1" t="s">
        <v>501</v>
      </c>
      <c r="B195" s="1" t="str">
        <f t="shared" si="3"/>
        <v>Residential Customers
Non-residential Customers</v>
      </c>
      <c r="C195" s="1" t="s">
        <v>35</v>
      </c>
      <c r="D195" s="1" t="s">
        <v>44</v>
      </c>
    </row>
    <row r="196" spans="1:4" ht="30" x14ac:dyDescent="0.25">
      <c r="A196" s="1" t="s">
        <v>891</v>
      </c>
      <c r="B196" s="1" t="str">
        <f t="shared" si="3"/>
        <v>Non-residential Customers</v>
      </c>
      <c r="D196" s="1" t="s">
        <v>44</v>
      </c>
    </row>
    <row r="197" spans="1:4" ht="30" x14ac:dyDescent="0.25">
      <c r="A197" s="1" t="s">
        <v>96</v>
      </c>
      <c r="B197" s="1" t="str">
        <f t="shared" si="3"/>
        <v>Residential Customers
Non-residential Customers</v>
      </c>
      <c r="C197" s="1" t="s">
        <v>35</v>
      </c>
      <c r="D197" s="1" t="s">
        <v>44</v>
      </c>
    </row>
    <row r="198" spans="1:4" x14ac:dyDescent="0.25">
      <c r="A198" s="1" t="s">
        <v>861</v>
      </c>
      <c r="B198" s="1" t="str">
        <f t="shared" si="3"/>
        <v/>
      </c>
    </row>
    <row r="199" spans="1:4" x14ac:dyDescent="0.25">
      <c r="A199" s="1" t="s">
        <v>244</v>
      </c>
      <c r="B199" s="1" t="str">
        <f t="shared" si="3"/>
        <v/>
      </c>
    </row>
    <row r="200" spans="1:4" ht="30" x14ac:dyDescent="0.25">
      <c r="A200" s="1" t="s">
        <v>318</v>
      </c>
      <c r="B200" s="1" t="str">
        <f t="shared" si="3"/>
        <v>Residential Customers</v>
      </c>
      <c r="C200" s="1" t="s">
        <v>35</v>
      </c>
    </row>
    <row r="201" spans="1:4" ht="30" x14ac:dyDescent="0.25">
      <c r="A201" s="1" t="s">
        <v>862</v>
      </c>
      <c r="B201" s="1" t="str">
        <f t="shared" ref="B201:B262" si="4">_xlfn.TEXTJOIN(CHAR(10),TRUE,C201:D201)</f>
        <v>Residential Customers
Non-Residential Customers</v>
      </c>
      <c r="C201" s="1" t="s">
        <v>35</v>
      </c>
      <c r="D201" s="1" t="s">
        <v>961</v>
      </c>
    </row>
    <row r="202" spans="1:4" ht="30" x14ac:dyDescent="0.25">
      <c r="A202" s="1" t="s">
        <v>476</v>
      </c>
      <c r="B202" s="1" t="str">
        <f t="shared" si="4"/>
        <v>Residential Customers
Non-Residential Customers</v>
      </c>
      <c r="C202" s="1" t="s">
        <v>35</v>
      </c>
      <c r="D202" s="1" t="s">
        <v>961</v>
      </c>
    </row>
    <row r="203" spans="1:4" ht="30" x14ac:dyDescent="0.25">
      <c r="A203" s="1" t="s">
        <v>160</v>
      </c>
      <c r="B203" s="1" t="str">
        <f t="shared" si="4"/>
        <v>Residential Customers
Non-Residential Customers</v>
      </c>
      <c r="C203" s="1" t="s">
        <v>35</v>
      </c>
      <c r="D203" s="1" t="s">
        <v>961</v>
      </c>
    </row>
    <row r="204" spans="1:4" ht="30" x14ac:dyDescent="0.25">
      <c r="A204" s="1" t="s">
        <v>420</v>
      </c>
      <c r="B204" s="1" t="str">
        <f t="shared" si="4"/>
        <v>Residential Customers
Non-Residential Customers</v>
      </c>
      <c r="C204" s="1" t="s">
        <v>35</v>
      </c>
      <c r="D204" s="1" t="s">
        <v>961</v>
      </c>
    </row>
    <row r="205" spans="1:4" ht="30" x14ac:dyDescent="0.25">
      <c r="A205" s="1" t="s">
        <v>227</v>
      </c>
      <c r="B205" s="1" t="str">
        <f t="shared" si="4"/>
        <v>Residential Customers</v>
      </c>
      <c r="C205" s="1" t="s">
        <v>35</v>
      </c>
    </row>
    <row r="206" spans="1:4" ht="30" x14ac:dyDescent="0.25">
      <c r="A206" s="1" t="s">
        <v>950</v>
      </c>
      <c r="B206" s="1" t="str">
        <f t="shared" si="4"/>
        <v>Residential Customers
Non-Residential Customers</v>
      </c>
      <c r="C206" s="1" t="s">
        <v>35</v>
      </c>
      <c r="D206" s="1" t="s">
        <v>961</v>
      </c>
    </row>
    <row r="207" spans="1:4" ht="30" x14ac:dyDescent="0.25">
      <c r="A207" s="1" t="s">
        <v>556</v>
      </c>
      <c r="B207" s="1" t="str">
        <f t="shared" si="4"/>
        <v>Residential Customers</v>
      </c>
      <c r="C207" s="1" t="s">
        <v>35</v>
      </c>
    </row>
    <row r="208" spans="1:4" ht="30" x14ac:dyDescent="0.25">
      <c r="A208" s="1" t="s">
        <v>894</v>
      </c>
      <c r="B208" s="1" t="str">
        <f t="shared" si="4"/>
        <v>Residential Customers</v>
      </c>
      <c r="C208" s="1" t="s">
        <v>35</v>
      </c>
    </row>
    <row r="209" spans="1:4" ht="30" x14ac:dyDescent="0.25">
      <c r="A209" s="1" t="s">
        <v>582</v>
      </c>
      <c r="B209" s="1" t="str">
        <f t="shared" si="4"/>
        <v>Residential Customers
Non-Residential Customers</v>
      </c>
      <c r="C209" s="1" t="s">
        <v>35</v>
      </c>
      <c r="D209" s="1" t="s">
        <v>961</v>
      </c>
    </row>
    <row r="210" spans="1:4" ht="30" x14ac:dyDescent="0.25">
      <c r="A210" s="1" t="s">
        <v>333</v>
      </c>
      <c r="B210" s="1" t="str">
        <f t="shared" si="4"/>
        <v>Non-residential Customers</v>
      </c>
      <c r="D210" s="1" t="s">
        <v>44</v>
      </c>
    </row>
    <row r="211" spans="1:4" ht="30" x14ac:dyDescent="0.25">
      <c r="A211" s="1" t="s">
        <v>129</v>
      </c>
      <c r="B211" s="1" t="str">
        <f t="shared" si="4"/>
        <v>Residential Customers
Non-Residential Customers</v>
      </c>
      <c r="C211" s="1" t="s">
        <v>35</v>
      </c>
      <c r="D211" s="1" t="s">
        <v>961</v>
      </c>
    </row>
    <row r="212" spans="1:4" ht="30" x14ac:dyDescent="0.25">
      <c r="A212" s="1" t="s">
        <v>102</v>
      </c>
      <c r="B212" s="1" t="str">
        <f t="shared" si="4"/>
        <v>Residential Customers
Non-Residential Customers</v>
      </c>
      <c r="C212" s="1" t="s">
        <v>35</v>
      </c>
      <c r="D212" s="1" t="s">
        <v>961</v>
      </c>
    </row>
    <row r="213" spans="1:4" ht="30" x14ac:dyDescent="0.25">
      <c r="A213" s="1" t="s">
        <v>901</v>
      </c>
      <c r="B213" s="1" t="str">
        <f t="shared" si="4"/>
        <v>Residential Customers
Non-Residential Customers</v>
      </c>
      <c r="C213" s="1" t="s">
        <v>35</v>
      </c>
      <c r="D213" s="1" t="s">
        <v>961</v>
      </c>
    </row>
    <row r="214" spans="1:4" x14ac:dyDescent="0.25">
      <c r="A214" s="1" t="s">
        <v>337</v>
      </c>
      <c r="B214" s="1" t="str">
        <f t="shared" si="4"/>
        <v/>
      </c>
    </row>
    <row r="215" spans="1:4" ht="30" x14ac:dyDescent="0.25">
      <c r="A215" s="1" t="s">
        <v>925</v>
      </c>
      <c r="B215" s="1" t="str">
        <f t="shared" si="4"/>
        <v>Residential Customers</v>
      </c>
      <c r="C215" s="1" t="s">
        <v>35</v>
      </c>
    </row>
    <row r="216" spans="1:4" ht="30" x14ac:dyDescent="0.25">
      <c r="A216" s="1" t="s">
        <v>297</v>
      </c>
      <c r="B216" s="1" t="str">
        <f t="shared" si="4"/>
        <v>Residential Customers
Non-Residential Customers</v>
      </c>
      <c r="C216" s="1" t="s">
        <v>35</v>
      </c>
      <c r="D216" s="1" t="s">
        <v>961</v>
      </c>
    </row>
    <row r="217" spans="1:4" ht="30" x14ac:dyDescent="0.25">
      <c r="A217" s="1" t="s">
        <v>919</v>
      </c>
      <c r="B217" s="1" t="str">
        <f t="shared" si="4"/>
        <v>Residential Customers</v>
      </c>
      <c r="C217" s="1" t="s">
        <v>35</v>
      </c>
    </row>
    <row r="218" spans="1:4" ht="30" x14ac:dyDescent="0.25">
      <c r="A218" s="1" t="s">
        <v>1055</v>
      </c>
      <c r="B218" s="1" t="str">
        <f t="shared" si="4"/>
        <v>Non-residential Customers</v>
      </c>
      <c r="D218" s="1" t="s">
        <v>44</v>
      </c>
    </row>
    <row r="219" spans="1:4" ht="30" x14ac:dyDescent="0.25">
      <c r="A219" s="1" t="s">
        <v>77</v>
      </c>
      <c r="B219" s="1" t="str">
        <f t="shared" si="4"/>
        <v>Residential Customers
Non-Residential Customers</v>
      </c>
      <c r="C219" s="1" t="s">
        <v>35</v>
      </c>
      <c r="D219" s="1" t="s">
        <v>961</v>
      </c>
    </row>
    <row r="220" spans="1:4" ht="30" x14ac:dyDescent="0.25">
      <c r="A220" s="1" t="s">
        <v>444</v>
      </c>
      <c r="B220" s="1" t="str">
        <f t="shared" si="4"/>
        <v>Residential Customers
Non-Residential Customers</v>
      </c>
      <c r="C220" s="1" t="s">
        <v>35</v>
      </c>
      <c r="D220" s="1" t="s">
        <v>961</v>
      </c>
    </row>
    <row r="221" spans="1:4" ht="30" x14ac:dyDescent="0.25">
      <c r="A221" s="1" t="s">
        <v>887</v>
      </c>
      <c r="B221" s="1" t="str">
        <f t="shared" si="4"/>
        <v>Residential Customers
Non-Residential Customers</v>
      </c>
      <c r="C221" s="1" t="s">
        <v>35</v>
      </c>
      <c r="D221" s="1" t="s">
        <v>961</v>
      </c>
    </row>
    <row r="222" spans="1:4" ht="30" x14ac:dyDescent="0.25">
      <c r="A222" s="1" t="s">
        <v>572</v>
      </c>
      <c r="B222" s="1" t="str">
        <f t="shared" si="4"/>
        <v>Residential Customers</v>
      </c>
      <c r="C222" s="1" t="s">
        <v>35</v>
      </c>
    </row>
    <row r="223" spans="1:4" ht="30" x14ac:dyDescent="0.25">
      <c r="A223" s="1" t="s">
        <v>523</v>
      </c>
      <c r="B223" s="1" t="str">
        <f t="shared" si="4"/>
        <v>Non-residential Customers</v>
      </c>
      <c r="D223" s="1" t="s">
        <v>44</v>
      </c>
    </row>
    <row r="224" spans="1:4" ht="30" x14ac:dyDescent="0.25">
      <c r="A224" s="1" t="s">
        <v>56</v>
      </c>
      <c r="B224" s="1" t="str">
        <f t="shared" si="4"/>
        <v>Residential Customers
Non-Residential Customers</v>
      </c>
      <c r="C224" s="1" t="s">
        <v>35</v>
      </c>
      <c r="D224" s="1" t="s">
        <v>961</v>
      </c>
    </row>
    <row r="225" spans="1:4" ht="30" x14ac:dyDescent="0.25">
      <c r="A225" s="1" t="s">
        <v>1303</v>
      </c>
      <c r="B225" s="1" t="str">
        <f t="shared" si="4"/>
        <v>Residential Customers</v>
      </c>
      <c r="C225" s="1" t="s">
        <v>35</v>
      </c>
    </row>
    <row r="226" spans="1:4" ht="30" x14ac:dyDescent="0.25">
      <c r="A226" s="1" t="s">
        <v>1302</v>
      </c>
      <c r="B226" s="1" t="str">
        <f t="shared" si="4"/>
        <v>Residential Customers
Non-Residential Customers</v>
      </c>
      <c r="C226" s="1" t="s">
        <v>35</v>
      </c>
      <c r="D226" s="1" t="s">
        <v>961</v>
      </c>
    </row>
    <row r="227" spans="1:4" ht="30" x14ac:dyDescent="0.25">
      <c r="A227" s="1" t="s">
        <v>195</v>
      </c>
      <c r="B227" s="1" t="str">
        <f t="shared" si="4"/>
        <v>Residential Customers
Non-Residential Customers</v>
      </c>
      <c r="C227" s="1" t="s">
        <v>35</v>
      </c>
      <c r="D227" s="1" t="s">
        <v>961</v>
      </c>
    </row>
    <row r="228" spans="1:4" ht="30" x14ac:dyDescent="0.25">
      <c r="A228" s="1" t="s">
        <v>1234</v>
      </c>
      <c r="B228" s="1" t="str">
        <f t="shared" si="4"/>
        <v>Non-residential Customers</v>
      </c>
      <c r="D228" s="1" t="s">
        <v>44</v>
      </c>
    </row>
    <row r="229" spans="1:4" ht="30" x14ac:dyDescent="0.25">
      <c r="A229" s="1" t="s">
        <v>183</v>
      </c>
      <c r="B229" s="1" t="str">
        <f t="shared" si="4"/>
        <v>Residential Customers
Non-Residential Customers</v>
      </c>
      <c r="C229" s="1" t="s">
        <v>35</v>
      </c>
      <c r="D229" s="1" t="s">
        <v>961</v>
      </c>
    </row>
    <row r="230" spans="1:4" ht="30" x14ac:dyDescent="0.25">
      <c r="A230" s="1" t="s">
        <v>370</v>
      </c>
      <c r="B230" s="1" t="str">
        <f t="shared" si="4"/>
        <v>Residential Customers
Non-Residential Customers</v>
      </c>
      <c r="C230" s="1" t="s">
        <v>35</v>
      </c>
      <c r="D230" s="1" t="s">
        <v>961</v>
      </c>
    </row>
    <row r="231" spans="1:4" ht="30" x14ac:dyDescent="0.25">
      <c r="A231" s="1" t="s">
        <v>913</v>
      </c>
      <c r="B231" s="1" t="str">
        <f t="shared" si="4"/>
        <v>Residential Customers
Non-Residential Customers</v>
      </c>
      <c r="C231" s="1" t="s">
        <v>35</v>
      </c>
      <c r="D231" s="1" t="s">
        <v>961</v>
      </c>
    </row>
    <row r="232" spans="1:4" ht="30" x14ac:dyDescent="0.25">
      <c r="A232" s="1" t="s">
        <v>163</v>
      </c>
      <c r="B232" s="1" t="str">
        <f t="shared" si="4"/>
        <v>Residential Customers
Non-Residential Customers</v>
      </c>
      <c r="C232" s="1" t="s">
        <v>35</v>
      </c>
      <c r="D232" s="1" t="s">
        <v>961</v>
      </c>
    </row>
    <row r="233" spans="1:4" ht="30" x14ac:dyDescent="0.25">
      <c r="A233" s="1" t="s">
        <v>877</v>
      </c>
      <c r="B233" s="1" t="str">
        <f t="shared" si="4"/>
        <v>Residential Customers
Non-Residential Customers</v>
      </c>
      <c r="C233" s="1" t="s">
        <v>35</v>
      </c>
      <c r="D233" s="1" t="s">
        <v>961</v>
      </c>
    </row>
    <row r="234" spans="1:4" ht="30" x14ac:dyDescent="0.25">
      <c r="A234" s="1" t="s">
        <v>49</v>
      </c>
      <c r="B234" s="1" t="str">
        <f t="shared" si="4"/>
        <v>Residential Customers
Non-Residential Customers</v>
      </c>
      <c r="C234" s="1" t="s">
        <v>35</v>
      </c>
      <c r="D234" s="1" t="s">
        <v>961</v>
      </c>
    </row>
    <row r="235" spans="1:4" ht="30" x14ac:dyDescent="0.25">
      <c r="A235" s="1" t="s">
        <v>544</v>
      </c>
      <c r="B235" s="1" t="str">
        <f t="shared" si="4"/>
        <v>Residential Customers
Non-Residential Customers</v>
      </c>
      <c r="C235" s="1" t="s">
        <v>35</v>
      </c>
      <c r="D235" s="1" t="s">
        <v>961</v>
      </c>
    </row>
    <row r="236" spans="1:4" ht="30" x14ac:dyDescent="0.25">
      <c r="A236" s="1" t="s">
        <v>952</v>
      </c>
      <c r="B236" s="1" t="str">
        <f t="shared" si="4"/>
        <v>Non-residential Customers</v>
      </c>
      <c r="D236" s="1" t="s">
        <v>44</v>
      </c>
    </row>
    <row r="237" spans="1:4" ht="30" x14ac:dyDescent="0.25">
      <c r="A237" s="1" t="s">
        <v>856</v>
      </c>
      <c r="B237" s="1" t="str">
        <f t="shared" si="4"/>
        <v>Non-residential Customers</v>
      </c>
      <c r="D237" s="1" t="s">
        <v>44</v>
      </c>
    </row>
    <row r="238" spans="1:4" ht="30" x14ac:dyDescent="0.25">
      <c r="A238" s="1" t="s">
        <v>118</v>
      </c>
      <c r="B238" s="1" t="str">
        <f t="shared" si="4"/>
        <v>Residential Customers</v>
      </c>
      <c r="C238" s="1" t="s">
        <v>35</v>
      </c>
    </row>
    <row r="239" spans="1:4" ht="30" x14ac:dyDescent="0.25">
      <c r="A239" s="1" t="s">
        <v>1227</v>
      </c>
      <c r="B239" s="1" t="str">
        <f t="shared" si="4"/>
        <v>Residential Customers
Non-Residential Customers</v>
      </c>
      <c r="C239" s="1" t="s">
        <v>35</v>
      </c>
      <c r="D239" s="1" t="s">
        <v>961</v>
      </c>
    </row>
    <row r="240" spans="1:4" ht="30" x14ac:dyDescent="0.25">
      <c r="A240" s="1" t="s">
        <v>513</v>
      </c>
      <c r="B240" s="1" t="str">
        <f t="shared" si="4"/>
        <v>Residential Customers
Non-Residential Customers</v>
      </c>
      <c r="C240" s="1" t="s">
        <v>35</v>
      </c>
      <c r="D240" s="1" t="s">
        <v>961</v>
      </c>
    </row>
    <row r="241" spans="1:4" ht="30" x14ac:dyDescent="0.25">
      <c r="A241" s="1" t="s">
        <v>408</v>
      </c>
      <c r="B241" s="1" t="str">
        <f t="shared" si="4"/>
        <v>Non-residential Customers</v>
      </c>
      <c r="D241" s="1" t="s">
        <v>44</v>
      </c>
    </row>
    <row r="242" spans="1:4" ht="30" x14ac:dyDescent="0.25">
      <c r="A242" s="1" t="s">
        <v>436</v>
      </c>
      <c r="B242" s="1" t="str">
        <f t="shared" si="4"/>
        <v>Residential Customers</v>
      </c>
      <c r="C242" s="1" t="s">
        <v>35</v>
      </c>
    </row>
    <row r="243" spans="1:4" ht="30" x14ac:dyDescent="0.25">
      <c r="A243" s="1" t="s">
        <v>870</v>
      </c>
      <c r="B243" s="1" t="str">
        <f t="shared" si="4"/>
        <v>Residential Customers
Non-Residential Customers</v>
      </c>
      <c r="C243" s="1" t="s">
        <v>35</v>
      </c>
      <c r="D243" s="1" t="s">
        <v>961</v>
      </c>
    </row>
    <row r="244" spans="1:4" ht="30" x14ac:dyDescent="0.25">
      <c r="A244" s="1" t="s">
        <v>460</v>
      </c>
      <c r="B244" s="1" t="str">
        <f t="shared" si="4"/>
        <v>Residential Customers</v>
      </c>
      <c r="C244" s="1" t="s">
        <v>35</v>
      </c>
    </row>
    <row r="245" spans="1:4" ht="30" x14ac:dyDescent="0.25">
      <c r="A245" s="1" t="s">
        <v>937</v>
      </c>
      <c r="B245" s="1" t="str">
        <f t="shared" si="4"/>
        <v>Residential Customers
Non-Residential Customers</v>
      </c>
      <c r="C245" s="1" t="s">
        <v>35</v>
      </c>
      <c r="D245" s="1" t="s">
        <v>961</v>
      </c>
    </row>
    <row r="246" spans="1:4" ht="30" x14ac:dyDescent="0.25">
      <c r="A246" s="1" t="s">
        <v>80</v>
      </c>
      <c r="B246" s="1" t="str">
        <f t="shared" si="4"/>
        <v>Residential Customers
Non-Residential Customers</v>
      </c>
      <c r="C246" s="1" t="s">
        <v>35</v>
      </c>
      <c r="D246" s="1" t="s">
        <v>961</v>
      </c>
    </row>
    <row r="247" spans="1:4" ht="30" x14ac:dyDescent="0.25">
      <c r="A247" s="1" t="s">
        <v>175</v>
      </c>
      <c r="B247" s="1" t="str">
        <f t="shared" si="4"/>
        <v>Residential Customers
Non-Residential Customers</v>
      </c>
      <c r="C247" s="1" t="s">
        <v>35</v>
      </c>
      <c r="D247" s="1" t="s">
        <v>961</v>
      </c>
    </row>
    <row r="248" spans="1:4" ht="30" x14ac:dyDescent="0.25">
      <c r="A248" s="1" t="s">
        <v>884</v>
      </c>
      <c r="B248" s="1" t="str">
        <f t="shared" si="4"/>
        <v>Non-residential Customers</v>
      </c>
      <c r="D248" s="1" t="s">
        <v>44</v>
      </c>
    </row>
    <row r="249" spans="1:4" ht="30" x14ac:dyDescent="0.25">
      <c r="A249" s="1" t="s">
        <v>230</v>
      </c>
      <c r="B249" s="1" t="str">
        <f t="shared" si="4"/>
        <v>Residential Customers</v>
      </c>
      <c r="C249" s="1" t="s">
        <v>35</v>
      </c>
    </row>
    <row r="250" spans="1:4" ht="30" x14ac:dyDescent="0.25">
      <c r="A250" s="1" t="s">
        <v>45</v>
      </c>
      <c r="B250" s="1" t="str">
        <f t="shared" si="4"/>
        <v>Residential Customers</v>
      </c>
      <c r="C250" s="1" t="s">
        <v>35</v>
      </c>
    </row>
    <row r="251" spans="1:4" ht="30" x14ac:dyDescent="0.25">
      <c r="A251" s="1" t="s">
        <v>301</v>
      </c>
      <c r="B251" s="1" t="str">
        <f t="shared" si="4"/>
        <v>Residential Customers
Non-Residential Customers</v>
      </c>
      <c r="C251" s="1" t="s">
        <v>35</v>
      </c>
      <c r="D251" s="1" t="s">
        <v>961</v>
      </c>
    </row>
    <row r="252" spans="1:4" ht="30" x14ac:dyDescent="0.25">
      <c r="A252" s="1" t="s">
        <v>947</v>
      </c>
      <c r="B252" s="1" t="str">
        <f t="shared" si="4"/>
        <v>Residential Customers</v>
      </c>
      <c r="C252" s="1" t="s">
        <v>35</v>
      </c>
    </row>
    <row r="253" spans="1:4" ht="30" x14ac:dyDescent="0.25">
      <c r="A253" s="1" t="s">
        <v>1226</v>
      </c>
      <c r="B253" s="1" t="str">
        <f t="shared" si="4"/>
        <v>Residential Customers
Non-Residential Customers</v>
      </c>
      <c r="C253" s="1" t="s">
        <v>35</v>
      </c>
      <c r="D253" s="1" t="s">
        <v>961</v>
      </c>
    </row>
    <row r="254" spans="1:4" ht="30" x14ac:dyDescent="0.25">
      <c r="A254" s="1" t="s">
        <v>855</v>
      </c>
      <c r="B254" s="1" t="str">
        <f t="shared" si="4"/>
        <v>Residential Customers
Non-Residential Customers</v>
      </c>
      <c r="C254" s="1" t="s">
        <v>35</v>
      </c>
      <c r="D254" s="1" t="s">
        <v>961</v>
      </c>
    </row>
    <row r="255" spans="1:4" ht="30" x14ac:dyDescent="0.25">
      <c r="A255" s="1" t="s">
        <v>480</v>
      </c>
      <c r="B255" s="1" t="str">
        <f t="shared" si="4"/>
        <v>Residential Customers</v>
      </c>
      <c r="C255" s="1" t="s">
        <v>35</v>
      </c>
    </row>
    <row r="256" spans="1:4" ht="30" x14ac:dyDescent="0.25">
      <c r="A256" s="1" t="s">
        <v>315</v>
      </c>
      <c r="B256" s="1" t="str">
        <f t="shared" si="4"/>
        <v>Residential Customers</v>
      </c>
      <c r="C256" s="1" t="s">
        <v>35</v>
      </c>
    </row>
    <row r="257" spans="1:4" ht="30" x14ac:dyDescent="0.25">
      <c r="A257" s="1" t="s">
        <v>927</v>
      </c>
      <c r="B257" s="1" t="str">
        <f t="shared" si="4"/>
        <v>Residential Customers
Non-Residential Customers</v>
      </c>
      <c r="C257" s="1" t="s">
        <v>35</v>
      </c>
      <c r="D257" s="1" t="s">
        <v>961</v>
      </c>
    </row>
    <row r="258" spans="1:4" ht="30" x14ac:dyDescent="0.25">
      <c r="A258" s="1" t="s">
        <v>344</v>
      </c>
      <c r="B258" s="1" t="str">
        <f t="shared" si="4"/>
        <v>Residential Customers
Non-residential Customers</v>
      </c>
      <c r="C258" s="1" t="s">
        <v>35</v>
      </c>
      <c r="D258" s="1" t="s">
        <v>44</v>
      </c>
    </row>
    <row r="259" spans="1:4" ht="30" x14ac:dyDescent="0.25">
      <c r="A259" s="1" t="s">
        <v>902</v>
      </c>
      <c r="B259" s="1" t="str">
        <f t="shared" si="4"/>
        <v>Non-residential Customers</v>
      </c>
      <c r="D259" s="1" t="s">
        <v>44</v>
      </c>
    </row>
    <row r="260" spans="1:4" ht="30" x14ac:dyDescent="0.25">
      <c r="A260" s="1" t="s">
        <v>944</v>
      </c>
      <c r="B260" s="1" t="str">
        <f t="shared" si="4"/>
        <v>Residential Customers</v>
      </c>
      <c r="C260" s="1" t="s">
        <v>35</v>
      </c>
    </row>
    <row r="261" spans="1:4" ht="30" x14ac:dyDescent="0.25">
      <c r="A261" s="1" t="s">
        <v>871</v>
      </c>
      <c r="B261" s="1" t="str">
        <f t="shared" si="4"/>
        <v>Residential Customers</v>
      </c>
      <c r="C261" s="1" t="s">
        <v>35</v>
      </c>
    </row>
    <row r="262" spans="1:4" ht="30" x14ac:dyDescent="0.25">
      <c r="A262" s="1" t="s">
        <v>885</v>
      </c>
      <c r="B262" s="1" t="str">
        <f t="shared" si="4"/>
        <v>Residential Customers
Non-Residential Customers</v>
      </c>
      <c r="C262" s="1" t="s">
        <v>35</v>
      </c>
      <c r="D262" s="1" t="s">
        <v>961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8A84-D50B-42EB-8C02-799C43B9FF77}">
  <dimension ref="A2:D262"/>
  <sheetViews>
    <sheetView workbookViewId="0">
      <selection activeCell="H8" sqref="H8"/>
    </sheetView>
  </sheetViews>
  <sheetFormatPr defaultRowHeight="15" x14ac:dyDescent="0.25"/>
  <cols>
    <col min="1" max="1" width="37.140625" style="1" bestFit="1" customWidth="1"/>
    <col min="2" max="2" width="37.140625" style="1" customWidth="1"/>
    <col min="3" max="3" width="15.28515625" style="1" customWidth="1"/>
    <col min="4" max="4" width="12" style="1" customWidth="1"/>
  </cols>
  <sheetData>
    <row r="2" spans="1:4" x14ac:dyDescent="0.25">
      <c r="A2" s="6" t="s">
        <v>847</v>
      </c>
      <c r="B2" s="23" t="s">
        <v>1418</v>
      </c>
      <c r="C2" s="19" t="s">
        <v>0</v>
      </c>
      <c r="D2" s="22" t="s">
        <v>1</v>
      </c>
    </row>
    <row r="3" spans="1:4" x14ac:dyDescent="0.25">
      <c r="A3" s="1" t="s">
        <v>857</v>
      </c>
      <c r="B3" s="1" t="str">
        <f>_xlfn.TEXTJOIN(CHAR(10),TRUE,C3:D3)</f>
        <v>Homeowners</v>
      </c>
      <c r="C3" s="1" t="s">
        <v>0</v>
      </c>
    </row>
    <row r="4" spans="1:4" x14ac:dyDescent="0.25">
      <c r="A4" s="1" t="s">
        <v>863</v>
      </c>
      <c r="B4" s="1" t="str">
        <f t="shared" ref="B4:B67" si="0">_xlfn.TEXTJOIN(CHAR(10),TRUE,C4:D4)</f>
        <v>Homeowners</v>
      </c>
      <c r="C4" s="1" t="s">
        <v>0</v>
      </c>
    </row>
    <row r="5" spans="1:4" x14ac:dyDescent="0.25">
      <c r="A5" s="1" t="s">
        <v>240</v>
      </c>
      <c r="B5" s="1" t="str">
        <f t="shared" si="0"/>
        <v>Homeowners</v>
      </c>
      <c r="C5" s="1" t="s">
        <v>0</v>
      </c>
    </row>
    <row r="6" spans="1:4" x14ac:dyDescent="0.25">
      <c r="A6" s="1" t="s">
        <v>214</v>
      </c>
      <c r="B6" s="1" t="str">
        <f t="shared" si="0"/>
        <v>Homeowners</v>
      </c>
      <c r="C6" s="1" t="s">
        <v>0</v>
      </c>
    </row>
    <row r="7" spans="1:4" x14ac:dyDescent="0.25">
      <c r="A7" s="1" t="s">
        <v>866</v>
      </c>
      <c r="B7" s="1" t="str">
        <f t="shared" si="0"/>
        <v>Homeowners</v>
      </c>
      <c r="C7" s="1" t="s">
        <v>0</v>
      </c>
    </row>
    <row r="8" spans="1:4" ht="30" x14ac:dyDescent="0.25">
      <c r="A8" s="1" t="s">
        <v>71</v>
      </c>
      <c r="B8" s="1" t="str">
        <f t="shared" si="0"/>
        <v>Homeowners
Renters</v>
      </c>
      <c r="C8" s="1" t="s">
        <v>0</v>
      </c>
      <c r="D8" s="1" t="s">
        <v>1</v>
      </c>
    </row>
    <row r="9" spans="1:4" x14ac:dyDescent="0.25">
      <c r="A9" s="1" t="s">
        <v>1233</v>
      </c>
      <c r="B9" s="1" t="str">
        <f t="shared" si="0"/>
        <v>Homeowners</v>
      </c>
      <c r="C9" s="1" t="s">
        <v>0</v>
      </c>
    </row>
    <row r="10" spans="1:4" ht="32.25" customHeight="1" x14ac:dyDescent="0.25">
      <c r="A10" s="1" t="s">
        <v>907</v>
      </c>
      <c r="B10" s="1" t="str">
        <f t="shared" si="0"/>
        <v>Homeowners
Renters</v>
      </c>
      <c r="C10" s="1" t="s">
        <v>0</v>
      </c>
      <c r="D10" s="1" t="s">
        <v>1</v>
      </c>
    </row>
    <row r="11" spans="1:4" ht="30" x14ac:dyDescent="0.25">
      <c r="A11" s="1" t="s">
        <v>458</v>
      </c>
      <c r="B11" s="1" t="str">
        <f t="shared" si="0"/>
        <v>Homeowners
Renters</v>
      </c>
      <c r="C11" s="1" t="s">
        <v>0</v>
      </c>
      <c r="D11" s="1" t="s">
        <v>1</v>
      </c>
    </row>
    <row r="12" spans="1:4" x14ac:dyDescent="0.25">
      <c r="A12" s="1" t="s">
        <v>208</v>
      </c>
      <c r="B12" s="1" t="str">
        <f t="shared" si="0"/>
        <v>Homeowners</v>
      </c>
      <c r="C12" s="1" t="s">
        <v>0</v>
      </c>
    </row>
    <row r="13" spans="1:4" x14ac:dyDescent="0.25">
      <c r="A13" s="1" t="s">
        <v>906</v>
      </c>
      <c r="B13" s="1" t="str">
        <f t="shared" si="0"/>
        <v>Homeowners</v>
      </c>
      <c r="C13" s="1" t="s">
        <v>0</v>
      </c>
    </row>
    <row r="14" spans="1:4" x14ac:dyDescent="0.25">
      <c r="A14" s="1" t="s">
        <v>1295</v>
      </c>
      <c r="B14" s="1" t="str">
        <f t="shared" si="0"/>
        <v>Homeowners</v>
      </c>
      <c r="C14" s="1" t="s">
        <v>0</v>
      </c>
    </row>
    <row r="15" spans="1:4" x14ac:dyDescent="0.25">
      <c r="A15" s="1" t="s">
        <v>941</v>
      </c>
      <c r="B15" s="1" t="str">
        <f t="shared" si="0"/>
        <v>Homeowners</v>
      </c>
      <c r="C15" s="1" t="s">
        <v>0</v>
      </c>
    </row>
    <row r="16" spans="1:4" ht="30" x14ac:dyDescent="0.25">
      <c r="A16" s="1" t="s">
        <v>122</v>
      </c>
      <c r="B16" s="1" t="str">
        <f t="shared" si="0"/>
        <v>Homeowners
Renters</v>
      </c>
      <c r="C16" s="1" t="s">
        <v>0</v>
      </c>
      <c r="D16" s="1" t="s">
        <v>1</v>
      </c>
    </row>
    <row r="17" spans="1:4" ht="30" x14ac:dyDescent="0.25">
      <c r="A17" s="1" t="s">
        <v>881</v>
      </c>
      <c r="B17" s="1" t="str">
        <f t="shared" si="0"/>
        <v>Homeowners
Renters</v>
      </c>
      <c r="C17" s="1" t="s">
        <v>0</v>
      </c>
      <c r="D17" s="1" t="s">
        <v>1</v>
      </c>
    </row>
    <row r="18" spans="1:4" x14ac:dyDescent="0.25">
      <c r="A18" s="1" t="s">
        <v>936</v>
      </c>
      <c r="B18" s="1" t="str">
        <f t="shared" si="0"/>
        <v>Homeowners</v>
      </c>
      <c r="C18" s="1" t="s">
        <v>0</v>
      </c>
    </row>
    <row r="19" spans="1:4" x14ac:dyDescent="0.25">
      <c r="A19" s="1" t="s">
        <v>87</v>
      </c>
      <c r="B19" s="1" t="str">
        <f t="shared" si="0"/>
        <v>Homeowners</v>
      </c>
      <c r="C19" s="1" t="s">
        <v>0</v>
      </c>
    </row>
    <row r="20" spans="1:4" x14ac:dyDescent="0.25">
      <c r="A20" s="1" t="s">
        <v>427</v>
      </c>
      <c r="B20" s="1" t="str">
        <f t="shared" si="0"/>
        <v>Homeowners</v>
      </c>
      <c r="C20" s="1" t="s">
        <v>0</v>
      </c>
    </row>
    <row r="21" spans="1:4" x14ac:dyDescent="0.25">
      <c r="A21" s="1" t="s">
        <v>915</v>
      </c>
      <c r="B21" s="1" t="str">
        <f t="shared" si="0"/>
        <v>Homeowners</v>
      </c>
      <c r="C21" s="1" t="s">
        <v>0</v>
      </c>
    </row>
    <row r="22" spans="1:4" x14ac:dyDescent="0.25">
      <c r="A22" s="1" t="s">
        <v>383</v>
      </c>
      <c r="B22" s="1" t="str">
        <f t="shared" si="0"/>
        <v/>
      </c>
    </row>
    <row r="23" spans="1:4" ht="30" x14ac:dyDescent="0.25">
      <c r="A23" s="1" t="s">
        <v>293</v>
      </c>
      <c r="B23" s="1" t="str">
        <f t="shared" si="0"/>
        <v>Homeowners
Renters</v>
      </c>
      <c r="C23" s="1" t="s">
        <v>0</v>
      </c>
      <c r="D23" s="1" t="s">
        <v>1</v>
      </c>
    </row>
    <row r="24" spans="1:4" x14ac:dyDescent="0.25">
      <c r="A24" s="1" t="s">
        <v>401</v>
      </c>
      <c r="B24" s="1" t="str">
        <f t="shared" si="0"/>
        <v/>
      </c>
    </row>
    <row r="25" spans="1:4" x14ac:dyDescent="0.25">
      <c r="A25" s="1" t="s">
        <v>471</v>
      </c>
      <c r="B25" s="1" t="str">
        <f t="shared" si="0"/>
        <v>Homeowners</v>
      </c>
      <c r="C25" s="1" t="s">
        <v>0</v>
      </c>
    </row>
    <row r="26" spans="1:4" x14ac:dyDescent="0.25">
      <c r="A26" s="1" t="s">
        <v>883</v>
      </c>
      <c r="B26" s="1" t="str">
        <f t="shared" si="0"/>
        <v/>
      </c>
    </row>
    <row r="27" spans="1:4" x14ac:dyDescent="0.25">
      <c r="A27" s="1" t="s">
        <v>360</v>
      </c>
      <c r="B27" s="1" t="str">
        <f t="shared" si="0"/>
        <v>Homeowners</v>
      </c>
      <c r="C27" s="1" t="s">
        <v>0</v>
      </c>
    </row>
    <row r="28" spans="1:4" ht="30" x14ac:dyDescent="0.25">
      <c r="A28" s="1" t="s">
        <v>942</v>
      </c>
      <c r="B28" s="1" t="str">
        <f t="shared" si="0"/>
        <v>Homeowners
Renters</v>
      </c>
      <c r="C28" s="1" t="s">
        <v>0</v>
      </c>
      <c r="D28" s="1" t="s">
        <v>1</v>
      </c>
    </row>
    <row r="29" spans="1:4" x14ac:dyDescent="0.25">
      <c r="A29" s="1" t="s">
        <v>366</v>
      </c>
      <c r="B29" s="1" t="str">
        <f t="shared" si="0"/>
        <v>Homeowners</v>
      </c>
      <c r="C29" s="1" t="s">
        <v>0</v>
      </c>
    </row>
    <row r="30" spans="1:4" x14ac:dyDescent="0.25">
      <c r="A30" s="1" t="s">
        <v>553</v>
      </c>
      <c r="B30" s="1" t="str">
        <f t="shared" si="0"/>
        <v>Homeowners</v>
      </c>
      <c r="C30" s="1" t="s">
        <v>0</v>
      </c>
    </row>
    <row r="31" spans="1:4" ht="30" x14ac:dyDescent="0.25">
      <c r="A31" s="1" t="s">
        <v>943</v>
      </c>
      <c r="B31" s="1" t="str">
        <f t="shared" si="0"/>
        <v>Homeowners
Renters</v>
      </c>
      <c r="C31" s="1" t="s">
        <v>0</v>
      </c>
      <c r="D31" s="1" t="s">
        <v>1</v>
      </c>
    </row>
    <row r="32" spans="1:4" x14ac:dyDescent="0.25">
      <c r="A32" s="1" t="s">
        <v>1232</v>
      </c>
      <c r="B32" s="1" t="str">
        <f t="shared" si="0"/>
        <v>Homeowners</v>
      </c>
      <c r="C32" s="1" t="s">
        <v>0</v>
      </c>
    </row>
    <row r="33" spans="1:4" x14ac:dyDescent="0.25">
      <c r="A33" s="1" t="s">
        <v>928</v>
      </c>
      <c r="B33" s="1" t="str">
        <f t="shared" si="0"/>
        <v>Homeowners</v>
      </c>
      <c r="C33" s="1" t="s">
        <v>0</v>
      </c>
    </row>
    <row r="34" spans="1:4" x14ac:dyDescent="0.25">
      <c r="A34" s="1" t="s">
        <v>549</v>
      </c>
      <c r="B34" s="1" t="str">
        <f t="shared" si="0"/>
        <v/>
      </c>
    </row>
    <row r="35" spans="1:4" x14ac:dyDescent="0.25">
      <c r="A35" s="1" t="s">
        <v>202</v>
      </c>
      <c r="B35" s="1" t="str">
        <f t="shared" si="0"/>
        <v>Homeowners</v>
      </c>
      <c r="C35" s="1" t="s">
        <v>0</v>
      </c>
    </row>
    <row r="36" spans="1:4" x14ac:dyDescent="0.25">
      <c r="A36" s="1" t="s">
        <v>851</v>
      </c>
      <c r="B36" s="1" t="str">
        <f t="shared" si="0"/>
        <v>Homeowners</v>
      </c>
      <c r="C36" s="1" t="s">
        <v>0</v>
      </c>
    </row>
    <row r="37" spans="1:4" x14ac:dyDescent="0.25">
      <c r="A37" s="1" t="s">
        <v>882</v>
      </c>
      <c r="B37" s="1" t="str">
        <f t="shared" si="0"/>
        <v>Homeowners</v>
      </c>
      <c r="C37" s="1" t="s">
        <v>0</v>
      </c>
    </row>
    <row r="38" spans="1:4" ht="30" x14ac:dyDescent="0.25">
      <c r="A38" s="1" t="s">
        <v>217</v>
      </c>
      <c r="B38" s="1" t="str">
        <f t="shared" si="0"/>
        <v>Homeowners
Renters</v>
      </c>
      <c r="C38" s="1" t="s">
        <v>0</v>
      </c>
      <c r="D38" s="1" t="s">
        <v>1</v>
      </c>
    </row>
    <row r="39" spans="1:4" x14ac:dyDescent="0.25">
      <c r="A39" s="1" t="s">
        <v>463</v>
      </c>
      <c r="B39" s="1" t="str">
        <f t="shared" si="0"/>
        <v>Homeowners</v>
      </c>
      <c r="C39" s="1" t="s">
        <v>0</v>
      </c>
    </row>
    <row r="40" spans="1:4" ht="30" x14ac:dyDescent="0.25">
      <c r="A40" s="1" t="s">
        <v>505</v>
      </c>
      <c r="B40" s="1" t="str">
        <f t="shared" si="0"/>
        <v>Homeowners
Renters</v>
      </c>
      <c r="C40" s="1" t="s">
        <v>0</v>
      </c>
      <c r="D40" s="1" t="s">
        <v>1</v>
      </c>
    </row>
    <row r="41" spans="1:4" ht="30" x14ac:dyDescent="0.25">
      <c r="A41" s="1" t="s">
        <v>497</v>
      </c>
      <c r="B41" s="1" t="str">
        <f t="shared" si="0"/>
        <v>Homeowners
Renters</v>
      </c>
      <c r="C41" s="1" t="s">
        <v>0</v>
      </c>
      <c r="D41" s="1" t="s">
        <v>1</v>
      </c>
    </row>
    <row r="42" spans="1:4" x14ac:dyDescent="0.25">
      <c r="A42" s="1" t="s">
        <v>1231</v>
      </c>
      <c r="B42" s="1" t="str">
        <f t="shared" si="0"/>
        <v>Homeowners</v>
      </c>
      <c r="C42" s="1" t="s">
        <v>0</v>
      </c>
    </row>
    <row r="43" spans="1:4" x14ac:dyDescent="0.25">
      <c r="A43" s="1" t="s">
        <v>926</v>
      </c>
      <c r="B43" s="1" t="str">
        <f t="shared" si="0"/>
        <v>Homeowners</v>
      </c>
      <c r="C43" s="1" t="s">
        <v>0</v>
      </c>
    </row>
    <row r="44" spans="1:4" ht="30" x14ac:dyDescent="0.25">
      <c r="A44" s="1" t="s">
        <v>923</v>
      </c>
      <c r="B44" s="1" t="str">
        <f t="shared" si="0"/>
        <v>Homeowners
Renters</v>
      </c>
      <c r="C44" s="1" t="s">
        <v>0</v>
      </c>
      <c r="D44" s="1" t="s">
        <v>1</v>
      </c>
    </row>
    <row r="45" spans="1:4" ht="30" x14ac:dyDescent="0.25">
      <c r="A45" s="1" t="s">
        <v>60</v>
      </c>
      <c r="B45" s="1" t="str">
        <f t="shared" si="0"/>
        <v>Homeowners
Renters</v>
      </c>
      <c r="C45" s="1" t="s">
        <v>0</v>
      </c>
      <c r="D45" s="1" t="s">
        <v>1</v>
      </c>
    </row>
    <row r="46" spans="1:4" x14ac:dyDescent="0.25">
      <c r="A46" s="1" t="s">
        <v>205</v>
      </c>
      <c r="B46" s="1" t="str">
        <f t="shared" si="0"/>
        <v/>
      </c>
    </row>
    <row r="47" spans="1:4" x14ac:dyDescent="0.25">
      <c r="A47" s="1" t="s">
        <v>1230</v>
      </c>
      <c r="B47" s="1" t="str">
        <f t="shared" si="0"/>
        <v>Homeowners</v>
      </c>
      <c r="C47" s="1" t="s">
        <v>0</v>
      </c>
    </row>
    <row r="48" spans="1:4" x14ac:dyDescent="0.25">
      <c r="A48" s="1" t="s">
        <v>199</v>
      </c>
      <c r="B48" s="1" t="str">
        <f t="shared" si="0"/>
        <v>Homeowners</v>
      </c>
      <c r="C48" s="1" t="s">
        <v>0</v>
      </c>
    </row>
    <row r="49" spans="1:4" x14ac:dyDescent="0.25">
      <c r="A49" s="1" t="s">
        <v>865</v>
      </c>
      <c r="B49" s="1" t="str">
        <f t="shared" si="0"/>
        <v>Homeowners</v>
      </c>
      <c r="C49" s="1" t="s">
        <v>0</v>
      </c>
    </row>
    <row r="50" spans="1:4" x14ac:dyDescent="0.25">
      <c r="A50" s="1" t="s">
        <v>451</v>
      </c>
      <c r="B50" s="1" t="str">
        <f t="shared" si="0"/>
        <v>Homeowners</v>
      </c>
      <c r="C50" s="1" t="s">
        <v>0</v>
      </c>
    </row>
    <row r="51" spans="1:4" x14ac:dyDescent="0.25">
      <c r="A51" s="1" t="s">
        <v>374</v>
      </c>
      <c r="B51" s="1" t="str">
        <f t="shared" si="0"/>
        <v>Homeowners</v>
      </c>
      <c r="C51" s="1" t="s">
        <v>0</v>
      </c>
    </row>
    <row r="52" spans="1:4" x14ac:dyDescent="0.25">
      <c r="A52" s="1" t="s">
        <v>397</v>
      </c>
      <c r="B52" s="1" t="str">
        <f t="shared" si="0"/>
        <v>Homeowners</v>
      </c>
      <c r="C52" s="1" t="s">
        <v>0</v>
      </c>
    </row>
    <row r="53" spans="1:4" x14ac:dyDescent="0.25">
      <c r="A53" s="1" t="s">
        <v>351</v>
      </c>
      <c r="B53" s="1" t="str">
        <f t="shared" si="0"/>
        <v/>
      </c>
    </row>
    <row r="54" spans="1:4" x14ac:dyDescent="0.25">
      <c r="A54" s="1" t="s">
        <v>388</v>
      </c>
      <c r="B54" s="1" t="str">
        <f t="shared" si="0"/>
        <v>Homeowners</v>
      </c>
      <c r="C54" s="1" t="s">
        <v>0</v>
      </c>
    </row>
    <row r="55" spans="1:4" x14ac:dyDescent="0.25">
      <c r="A55" s="1" t="s">
        <v>142</v>
      </c>
      <c r="B55" s="1" t="str">
        <f t="shared" si="0"/>
        <v/>
      </c>
    </row>
    <row r="56" spans="1:4" x14ac:dyDescent="0.25">
      <c r="A56" s="1" t="s">
        <v>304</v>
      </c>
      <c r="B56" s="1" t="str">
        <f t="shared" si="0"/>
        <v>Homeowners</v>
      </c>
      <c r="C56" s="1" t="s">
        <v>0</v>
      </c>
    </row>
    <row r="57" spans="1:4" ht="30" x14ac:dyDescent="0.25">
      <c r="A57" s="1" t="s">
        <v>1215</v>
      </c>
      <c r="B57" s="1" t="str">
        <f t="shared" si="0"/>
        <v>Homeowners
Renters</v>
      </c>
      <c r="C57" s="1" t="s">
        <v>0</v>
      </c>
      <c r="D57" s="1" t="s">
        <v>1</v>
      </c>
    </row>
    <row r="58" spans="1:4" x14ac:dyDescent="0.25">
      <c r="A58" s="1" t="s">
        <v>529</v>
      </c>
      <c r="B58" s="1" t="str">
        <f t="shared" si="0"/>
        <v>Homeowners</v>
      </c>
      <c r="C58" s="1" t="s">
        <v>0</v>
      </c>
    </row>
    <row r="59" spans="1:4" x14ac:dyDescent="0.25">
      <c r="A59" s="1" t="s">
        <v>911</v>
      </c>
      <c r="B59" s="1" t="str">
        <f t="shared" si="0"/>
        <v>Homeowners</v>
      </c>
      <c r="C59" s="1" t="s">
        <v>0</v>
      </c>
    </row>
    <row r="60" spans="1:4" x14ac:dyDescent="0.25">
      <c r="A60" s="1" t="s">
        <v>850</v>
      </c>
      <c r="B60" s="1" t="str">
        <f t="shared" si="0"/>
        <v>Homeowners</v>
      </c>
      <c r="C60" s="1" t="s">
        <v>0</v>
      </c>
    </row>
    <row r="61" spans="1:4" x14ac:dyDescent="0.25">
      <c r="A61" s="1" t="s">
        <v>938</v>
      </c>
      <c r="B61" s="1" t="str">
        <f t="shared" si="0"/>
        <v>Homeowners</v>
      </c>
      <c r="C61" s="1" t="s">
        <v>0</v>
      </c>
    </row>
    <row r="62" spans="1:4" ht="30" x14ac:dyDescent="0.25">
      <c r="A62" s="1" t="s">
        <v>321</v>
      </c>
      <c r="B62" s="1" t="str">
        <f t="shared" si="0"/>
        <v>Homeowners
Renters</v>
      </c>
      <c r="C62" s="1" t="s">
        <v>0</v>
      </c>
      <c r="D62" s="1" t="s">
        <v>1</v>
      </c>
    </row>
    <row r="63" spans="1:4" ht="30" x14ac:dyDescent="0.25">
      <c r="A63" s="1" t="s">
        <v>148</v>
      </c>
      <c r="B63" s="1" t="str">
        <f t="shared" si="0"/>
        <v>Homeowners
Renters</v>
      </c>
      <c r="C63" s="1" t="s">
        <v>0</v>
      </c>
      <c r="D63" s="1" t="s">
        <v>1</v>
      </c>
    </row>
    <row r="64" spans="1:4" x14ac:dyDescent="0.25">
      <c r="A64" s="1" t="s">
        <v>888</v>
      </c>
      <c r="B64" s="1" t="str">
        <f t="shared" si="0"/>
        <v>Homeowners</v>
      </c>
      <c r="C64" s="1" t="s">
        <v>0</v>
      </c>
    </row>
    <row r="65" spans="1:4" x14ac:dyDescent="0.25">
      <c r="A65" s="1" t="s">
        <v>67</v>
      </c>
      <c r="B65" s="1" t="str">
        <f t="shared" si="0"/>
        <v>Homeowners</v>
      </c>
      <c r="C65" s="1" t="s">
        <v>0</v>
      </c>
    </row>
    <row r="66" spans="1:4" ht="30" x14ac:dyDescent="0.25">
      <c r="A66" s="1" t="s">
        <v>258</v>
      </c>
      <c r="B66" s="1" t="str">
        <f t="shared" si="0"/>
        <v>Homeowners
Renters</v>
      </c>
      <c r="C66" s="1" t="s">
        <v>0</v>
      </c>
      <c r="D66" s="1" t="s">
        <v>1</v>
      </c>
    </row>
    <row r="67" spans="1:4" x14ac:dyDescent="0.25">
      <c r="A67" s="1" t="s">
        <v>914</v>
      </c>
      <c r="B67" s="1" t="str">
        <f t="shared" si="0"/>
        <v>Homeowners</v>
      </c>
      <c r="C67" s="1" t="s">
        <v>0</v>
      </c>
    </row>
    <row r="68" spans="1:4" ht="30" x14ac:dyDescent="0.25">
      <c r="A68" s="1" t="s">
        <v>917</v>
      </c>
      <c r="B68" s="1" t="str">
        <f t="shared" ref="B68:B131" si="1">_xlfn.TEXTJOIN(CHAR(10),TRUE,C68:D68)</f>
        <v>Homeowners
Renters</v>
      </c>
      <c r="C68" s="1" t="s">
        <v>0</v>
      </c>
      <c r="D68" s="1" t="s">
        <v>1</v>
      </c>
    </row>
    <row r="69" spans="1:4" x14ac:dyDescent="0.25">
      <c r="A69" s="1" t="s">
        <v>391</v>
      </c>
      <c r="B69" s="1" t="str">
        <f t="shared" si="1"/>
        <v/>
      </c>
    </row>
    <row r="70" spans="1:4" x14ac:dyDescent="0.25">
      <c r="A70" s="1" t="s">
        <v>190</v>
      </c>
      <c r="B70" s="1" t="str">
        <f t="shared" si="1"/>
        <v>Homeowners</v>
      </c>
      <c r="C70" s="1" t="s">
        <v>0</v>
      </c>
    </row>
    <row r="71" spans="1:4" x14ac:dyDescent="0.25">
      <c r="A71" s="1" t="s">
        <v>872</v>
      </c>
      <c r="B71" s="1" t="str">
        <f t="shared" si="1"/>
        <v>Homeowners</v>
      </c>
      <c r="C71" s="1" t="s">
        <v>0</v>
      </c>
    </row>
    <row r="72" spans="1:4" x14ac:dyDescent="0.25">
      <c r="A72" s="1" t="s">
        <v>878</v>
      </c>
      <c r="B72" s="1" t="str">
        <f t="shared" si="1"/>
        <v>Homeowners</v>
      </c>
      <c r="C72" s="1" t="s">
        <v>0</v>
      </c>
    </row>
    <row r="73" spans="1:4" ht="30" x14ac:dyDescent="0.25">
      <c r="A73" s="1" t="s">
        <v>153</v>
      </c>
      <c r="B73" s="1" t="str">
        <f t="shared" si="1"/>
        <v>Homeowners</v>
      </c>
      <c r="C73" s="1" t="s">
        <v>0</v>
      </c>
    </row>
    <row r="74" spans="1:4" x14ac:dyDescent="0.25">
      <c r="A74" s="1" t="s">
        <v>330</v>
      </c>
      <c r="B74" s="1" t="str">
        <f t="shared" si="1"/>
        <v/>
      </c>
    </row>
    <row r="75" spans="1:4" x14ac:dyDescent="0.25">
      <c r="A75" s="1" t="s">
        <v>532</v>
      </c>
      <c r="B75" s="1" t="str">
        <f t="shared" si="1"/>
        <v/>
      </c>
    </row>
    <row r="76" spans="1:4" x14ac:dyDescent="0.25">
      <c r="A76" s="1" t="s">
        <v>280</v>
      </c>
      <c r="B76" s="1" t="str">
        <f t="shared" si="1"/>
        <v>Homeowners</v>
      </c>
      <c r="C76" s="1" t="s">
        <v>0</v>
      </c>
    </row>
    <row r="77" spans="1:4" ht="30" x14ac:dyDescent="0.25">
      <c r="A77" s="1" t="s">
        <v>211</v>
      </c>
      <c r="B77" s="1" t="str">
        <f t="shared" si="1"/>
        <v>Homeowners
Renters</v>
      </c>
      <c r="C77" s="1" t="s">
        <v>0</v>
      </c>
      <c r="D77" s="1" t="s">
        <v>1</v>
      </c>
    </row>
    <row r="78" spans="1:4" x14ac:dyDescent="0.25">
      <c r="A78" s="1" t="s">
        <v>896</v>
      </c>
      <c r="B78" s="1" t="str">
        <f t="shared" si="1"/>
        <v>Homeowners</v>
      </c>
      <c r="C78" s="1" t="s">
        <v>0</v>
      </c>
    </row>
    <row r="79" spans="1:4" x14ac:dyDescent="0.25">
      <c r="A79" s="1" t="s">
        <v>853</v>
      </c>
      <c r="B79" s="1" t="str">
        <f t="shared" si="1"/>
        <v>Homeowners</v>
      </c>
      <c r="C79" s="1" t="s">
        <v>0</v>
      </c>
    </row>
    <row r="80" spans="1:4" x14ac:dyDescent="0.25">
      <c r="A80" s="1" t="s">
        <v>1216</v>
      </c>
      <c r="B80" s="1" t="str">
        <f t="shared" si="1"/>
        <v>Homeowners</v>
      </c>
      <c r="C80" s="1" t="s">
        <v>0</v>
      </c>
    </row>
    <row r="81" spans="1:4" x14ac:dyDescent="0.25">
      <c r="A81" s="1" t="s">
        <v>537</v>
      </c>
      <c r="B81" s="1" t="str">
        <f t="shared" si="1"/>
        <v>Homeowners</v>
      </c>
      <c r="C81" s="1" t="s">
        <v>0</v>
      </c>
    </row>
    <row r="82" spans="1:4" x14ac:dyDescent="0.25">
      <c r="A82" s="1" t="s">
        <v>526</v>
      </c>
      <c r="B82" s="1" t="str">
        <f t="shared" si="1"/>
        <v>Homeowners</v>
      </c>
      <c r="C82" s="1" t="s">
        <v>0</v>
      </c>
    </row>
    <row r="83" spans="1:4" ht="30" x14ac:dyDescent="0.25">
      <c r="A83" s="1" t="s">
        <v>275</v>
      </c>
      <c r="B83" s="1" t="str">
        <f t="shared" si="1"/>
        <v>Homeowners
Renters</v>
      </c>
      <c r="C83" s="1" t="s">
        <v>0</v>
      </c>
      <c r="D83" s="1" t="s">
        <v>1</v>
      </c>
    </row>
    <row r="84" spans="1:4" x14ac:dyDescent="0.25">
      <c r="A84" s="9" t="s">
        <v>253</v>
      </c>
      <c r="B84" s="1" t="str">
        <f t="shared" si="1"/>
        <v>Homeowners</v>
      </c>
      <c r="C84" s="9" t="s">
        <v>0</v>
      </c>
      <c r="D84" s="9"/>
    </row>
    <row r="85" spans="1:4" x14ac:dyDescent="0.25">
      <c r="A85" s="1" t="s">
        <v>327</v>
      </c>
      <c r="B85" s="1" t="str">
        <f t="shared" si="1"/>
        <v/>
      </c>
    </row>
    <row r="86" spans="1:4" x14ac:dyDescent="0.25">
      <c r="A86" s="1" t="s">
        <v>929</v>
      </c>
      <c r="B86" s="1" t="str">
        <f t="shared" si="1"/>
        <v/>
      </c>
    </row>
    <row r="87" spans="1:4" x14ac:dyDescent="0.25">
      <c r="A87" s="1" t="s">
        <v>876</v>
      </c>
      <c r="B87" s="1" t="str">
        <f t="shared" si="1"/>
        <v>Homeowners</v>
      </c>
      <c r="C87" s="1" t="s">
        <v>0</v>
      </c>
    </row>
    <row r="88" spans="1:4" x14ac:dyDescent="0.25">
      <c r="A88" s="1" t="s">
        <v>323</v>
      </c>
      <c r="B88" s="1" t="str">
        <f t="shared" si="1"/>
        <v>Homeowners</v>
      </c>
      <c r="C88" s="1" t="s">
        <v>0</v>
      </c>
    </row>
    <row r="89" spans="1:4" x14ac:dyDescent="0.25">
      <c r="A89" s="1" t="s">
        <v>930</v>
      </c>
      <c r="B89" s="1" t="str">
        <f t="shared" si="1"/>
        <v>Homeowners</v>
      </c>
      <c r="C89" s="1" t="s">
        <v>0</v>
      </c>
    </row>
    <row r="90" spans="1:4" x14ac:dyDescent="0.25">
      <c r="A90" s="1" t="s">
        <v>417</v>
      </c>
      <c r="B90" s="1" t="str">
        <f t="shared" si="1"/>
        <v>Homeowners</v>
      </c>
      <c r="C90" s="1" t="s">
        <v>0</v>
      </c>
    </row>
    <row r="91" spans="1:4" x14ac:dyDescent="0.25">
      <c r="A91" s="1" t="s">
        <v>519</v>
      </c>
      <c r="B91" s="1" t="str">
        <f t="shared" si="1"/>
        <v>Homeowners</v>
      </c>
      <c r="C91" s="1" t="s">
        <v>0</v>
      </c>
    </row>
    <row r="92" spans="1:4" x14ac:dyDescent="0.25">
      <c r="A92" s="1" t="s">
        <v>487</v>
      </c>
      <c r="B92" s="1" t="str">
        <f t="shared" si="1"/>
        <v>Homeowners</v>
      </c>
      <c r="C92" s="1" t="s">
        <v>0</v>
      </c>
    </row>
    <row r="93" spans="1:4" x14ac:dyDescent="0.25">
      <c r="A93" s="1" t="s">
        <v>307</v>
      </c>
      <c r="B93" s="1" t="str">
        <f t="shared" si="1"/>
        <v>Homeowners</v>
      </c>
      <c r="C93" s="1" t="s">
        <v>0</v>
      </c>
    </row>
    <row r="94" spans="1:4" ht="30" x14ac:dyDescent="0.25">
      <c r="A94" s="1" t="s">
        <v>296</v>
      </c>
      <c r="B94" s="1" t="str">
        <f t="shared" si="1"/>
        <v>Homeowners
Renters</v>
      </c>
      <c r="C94" s="1" t="s">
        <v>0</v>
      </c>
      <c r="D94" s="1" t="s">
        <v>1</v>
      </c>
    </row>
    <row r="95" spans="1:4" x14ac:dyDescent="0.25">
      <c r="A95" s="1" t="s">
        <v>945</v>
      </c>
      <c r="B95" s="1" t="str">
        <f t="shared" si="1"/>
        <v>Homeowners</v>
      </c>
      <c r="C95" s="1" t="s">
        <v>0</v>
      </c>
    </row>
    <row r="96" spans="1:4" x14ac:dyDescent="0.25">
      <c r="A96" s="1" t="s">
        <v>261</v>
      </c>
      <c r="B96" s="1" t="str">
        <f t="shared" si="1"/>
        <v>Homeowners</v>
      </c>
      <c r="C96" s="1" t="s">
        <v>0</v>
      </c>
    </row>
    <row r="97" spans="1:4" x14ac:dyDescent="0.25">
      <c r="A97" s="1" t="s">
        <v>892</v>
      </c>
      <c r="B97" s="1" t="str">
        <f t="shared" si="1"/>
        <v/>
      </c>
    </row>
    <row r="98" spans="1:4" x14ac:dyDescent="0.25">
      <c r="A98" s="1" t="s">
        <v>494</v>
      </c>
      <c r="B98" s="1" t="str">
        <f t="shared" si="1"/>
        <v>Homeowners</v>
      </c>
      <c r="C98" s="1" t="s">
        <v>0</v>
      </c>
    </row>
    <row r="99" spans="1:4" ht="30" x14ac:dyDescent="0.25">
      <c r="A99" s="1" t="s">
        <v>99</v>
      </c>
      <c r="B99" s="1" t="str">
        <f t="shared" si="1"/>
        <v>Homeowners
Renters</v>
      </c>
      <c r="C99" s="1" t="s">
        <v>0</v>
      </c>
      <c r="D99" s="1" t="s">
        <v>1</v>
      </c>
    </row>
    <row r="100" spans="1:4" x14ac:dyDescent="0.25">
      <c r="A100" s="1" t="s">
        <v>852</v>
      </c>
      <c r="B100" s="1" t="str">
        <f t="shared" si="1"/>
        <v/>
      </c>
    </row>
    <row r="101" spans="1:4" x14ac:dyDescent="0.25">
      <c r="A101" s="1" t="s">
        <v>167</v>
      </c>
      <c r="B101" s="1" t="str">
        <f t="shared" si="1"/>
        <v>Homeowners</v>
      </c>
      <c r="C101" s="1" t="s">
        <v>0</v>
      </c>
    </row>
    <row r="102" spans="1:4" ht="30" x14ac:dyDescent="0.25">
      <c r="A102" s="1" t="s">
        <v>859</v>
      </c>
      <c r="B102" s="1" t="str">
        <f t="shared" si="1"/>
        <v>Homeowners
Renters</v>
      </c>
      <c r="C102" s="1" t="s">
        <v>0</v>
      </c>
      <c r="D102" s="1" t="s">
        <v>1</v>
      </c>
    </row>
    <row r="103" spans="1:4" x14ac:dyDescent="0.25">
      <c r="A103" s="1" t="s">
        <v>873</v>
      </c>
      <c r="B103" s="1" t="str">
        <f t="shared" si="1"/>
        <v/>
      </c>
    </row>
    <row r="104" spans="1:4" x14ac:dyDescent="0.25">
      <c r="A104" s="1" t="s">
        <v>946</v>
      </c>
      <c r="B104" s="1" t="str">
        <f t="shared" si="1"/>
        <v>Homeowners</v>
      </c>
      <c r="C104" s="1" t="s">
        <v>0</v>
      </c>
    </row>
    <row r="105" spans="1:4" x14ac:dyDescent="0.25">
      <c r="A105" s="1" t="s">
        <v>485</v>
      </c>
      <c r="B105" s="1" t="str">
        <f t="shared" si="1"/>
        <v>Homeowners</v>
      </c>
      <c r="C105" s="1" t="s">
        <v>0</v>
      </c>
    </row>
    <row r="106" spans="1:4" ht="30" x14ac:dyDescent="0.25">
      <c r="A106" s="1" t="s">
        <v>115</v>
      </c>
      <c r="B106" s="1" t="str">
        <f t="shared" si="1"/>
        <v>Homeowners
Renters</v>
      </c>
      <c r="C106" s="1" t="s">
        <v>0</v>
      </c>
      <c r="D106" s="1" t="s">
        <v>1</v>
      </c>
    </row>
    <row r="107" spans="1:4" ht="30" x14ac:dyDescent="0.25">
      <c r="A107" s="1" t="s">
        <v>920</v>
      </c>
      <c r="B107" s="1" t="str">
        <f t="shared" si="1"/>
        <v>Homeowners
Renters</v>
      </c>
      <c r="C107" s="1" t="s">
        <v>0</v>
      </c>
      <c r="D107" s="1" t="s">
        <v>1</v>
      </c>
    </row>
    <row r="108" spans="1:4" ht="30" x14ac:dyDescent="0.25">
      <c r="A108" s="1" t="s">
        <v>916</v>
      </c>
      <c r="B108" s="1" t="str">
        <f t="shared" si="1"/>
        <v>Homeowners
Renters</v>
      </c>
      <c r="C108" s="1" t="s">
        <v>0</v>
      </c>
      <c r="D108" s="1" t="s">
        <v>1</v>
      </c>
    </row>
    <row r="109" spans="1:4" x14ac:dyDescent="0.25">
      <c r="A109" s="1" t="s">
        <v>134</v>
      </c>
      <c r="B109" s="1" t="str">
        <f t="shared" si="1"/>
        <v>Homeowners</v>
      </c>
      <c r="C109" s="1" t="s">
        <v>0</v>
      </c>
    </row>
    <row r="110" spans="1:4" ht="30" x14ac:dyDescent="0.25">
      <c r="A110" s="1" t="s">
        <v>875</v>
      </c>
      <c r="B110" s="1" t="str">
        <f t="shared" si="1"/>
        <v>Homeowners
Renters</v>
      </c>
      <c r="C110" s="1" t="s">
        <v>0</v>
      </c>
      <c r="D110" s="1" t="s">
        <v>1</v>
      </c>
    </row>
    <row r="111" spans="1:4" x14ac:dyDescent="0.25">
      <c r="A111" s="1" t="s">
        <v>37</v>
      </c>
      <c r="B111" s="1" t="str">
        <f t="shared" si="1"/>
        <v>Homeowners</v>
      </c>
      <c r="C111" s="1" t="s">
        <v>0</v>
      </c>
    </row>
    <row r="112" spans="1:4" x14ac:dyDescent="0.25">
      <c r="A112" s="1" t="s">
        <v>220</v>
      </c>
      <c r="B112" s="1" t="str">
        <f t="shared" si="1"/>
        <v>Homeowners</v>
      </c>
      <c r="C112" s="1" t="s">
        <v>0</v>
      </c>
    </row>
    <row r="113" spans="1:4" x14ac:dyDescent="0.25">
      <c r="A113" s="1" t="s">
        <v>858</v>
      </c>
      <c r="B113" s="1" t="str">
        <f t="shared" si="1"/>
        <v>Homeowners</v>
      </c>
      <c r="C113" s="1" t="s">
        <v>0</v>
      </c>
    </row>
    <row r="114" spans="1:4" x14ac:dyDescent="0.25">
      <c r="A114" s="1" t="s">
        <v>272</v>
      </c>
      <c r="B114" s="1" t="str">
        <f t="shared" si="1"/>
        <v>Homeowners</v>
      </c>
      <c r="C114" s="1" t="s">
        <v>0</v>
      </c>
    </row>
    <row r="115" spans="1:4" ht="30" x14ac:dyDescent="0.25">
      <c r="A115" s="1" t="s">
        <v>52</v>
      </c>
      <c r="B115" s="1" t="str">
        <f t="shared" si="1"/>
        <v>Homeowners
Renters</v>
      </c>
      <c r="C115" s="1" t="s">
        <v>0</v>
      </c>
      <c r="D115" s="1" t="s">
        <v>1</v>
      </c>
    </row>
    <row r="116" spans="1:4" ht="30" x14ac:dyDescent="0.25">
      <c r="A116" s="1" t="s">
        <v>428</v>
      </c>
      <c r="B116" s="1" t="str">
        <f t="shared" si="1"/>
        <v>Homeowners
Renters</v>
      </c>
      <c r="C116" s="1" t="s">
        <v>0</v>
      </c>
      <c r="D116" s="1" t="s">
        <v>1</v>
      </c>
    </row>
    <row r="117" spans="1:4" x14ac:dyDescent="0.25">
      <c r="A117" s="1" t="s">
        <v>179</v>
      </c>
      <c r="B117" s="1" t="str">
        <f t="shared" si="1"/>
        <v>Homeowners</v>
      </c>
      <c r="C117" s="1" t="s">
        <v>0</v>
      </c>
    </row>
    <row r="118" spans="1:4" ht="30" x14ac:dyDescent="0.25">
      <c r="A118" s="1" t="s">
        <v>868</v>
      </c>
      <c r="B118" s="1" t="str">
        <f t="shared" si="1"/>
        <v>Homeowners
Renters</v>
      </c>
      <c r="C118" s="1" t="s">
        <v>0</v>
      </c>
      <c r="D118" s="1" t="s">
        <v>1</v>
      </c>
    </row>
    <row r="119" spans="1:4" ht="30" x14ac:dyDescent="0.25">
      <c r="A119" s="1" t="s">
        <v>234</v>
      </c>
      <c r="B119" s="1" t="str">
        <f t="shared" si="1"/>
        <v>Homeowners</v>
      </c>
      <c r="C119" s="1" t="s">
        <v>0</v>
      </c>
    </row>
    <row r="120" spans="1:4" x14ac:dyDescent="0.25">
      <c r="A120" s="1" t="s">
        <v>867</v>
      </c>
      <c r="B120" s="1" t="str">
        <f t="shared" si="1"/>
        <v>Homeowners</v>
      </c>
      <c r="C120" s="1" t="s">
        <v>0</v>
      </c>
    </row>
    <row r="121" spans="1:4" x14ac:dyDescent="0.25">
      <c r="A121" s="1" t="s">
        <v>879</v>
      </c>
      <c r="B121" s="1" t="str">
        <f t="shared" si="1"/>
        <v>Homeowners</v>
      </c>
      <c r="C121" s="1" t="s">
        <v>0</v>
      </c>
    </row>
    <row r="122" spans="1:4" x14ac:dyDescent="0.25">
      <c r="A122" s="1" t="s">
        <v>908</v>
      </c>
      <c r="B122" s="1" t="str">
        <f t="shared" si="1"/>
        <v>Homeowners</v>
      </c>
      <c r="C122" s="1" t="s">
        <v>0</v>
      </c>
    </row>
    <row r="123" spans="1:4" ht="30" x14ac:dyDescent="0.25">
      <c r="A123" s="1" t="s">
        <v>75</v>
      </c>
      <c r="B123" s="1" t="str">
        <f t="shared" si="1"/>
        <v>Homeowners
Renters</v>
      </c>
      <c r="C123" s="1" t="s">
        <v>0</v>
      </c>
      <c r="D123" s="1" t="s">
        <v>1</v>
      </c>
    </row>
    <row r="124" spans="1:4" x14ac:dyDescent="0.25">
      <c r="A124" s="1" t="s">
        <v>41</v>
      </c>
      <c r="B124" s="1" t="str">
        <f t="shared" si="1"/>
        <v>Homeowners</v>
      </c>
      <c r="C124" s="1" t="s">
        <v>0</v>
      </c>
    </row>
    <row r="125" spans="1:4" x14ac:dyDescent="0.25">
      <c r="A125" s="1" t="s">
        <v>267</v>
      </c>
      <c r="B125" s="1" t="str">
        <f t="shared" si="1"/>
        <v>Homeowners</v>
      </c>
      <c r="C125" s="1" t="s">
        <v>0</v>
      </c>
    </row>
    <row r="126" spans="1:4" x14ac:dyDescent="0.25">
      <c r="A126" s="1" t="s">
        <v>109</v>
      </c>
      <c r="B126" s="1" t="str">
        <f t="shared" si="1"/>
        <v>Homeowners</v>
      </c>
      <c r="C126" s="1" t="s">
        <v>0</v>
      </c>
    </row>
    <row r="127" spans="1:4" ht="30" x14ac:dyDescent="0.25">
      <c r="A127" s="1" t="s">
        <v>895</v>
      </c>
      <c r="B127" s="1" t="str">
        <f t="shared" si="1"/>
        <v>Homeowners
Renters</v>
      </c>
      <c r="C127" s="1" t="s">
        <v>0</v>
      </c>
      <c r="D127" s="1" t="s">
        <v>1</v>
      </c>
    </row>
    <row r="128" spans="1:4" ht="30" x14ac:dyDescent="0.25">
      <c r="A128" s="1" t="s">
        <v>932</v>
      </c>
      <c r="B128" s="1" t="str">
        <f t="shared" si="1"/>
        <v>Homeowners
Renters</v>
      </c>
      <c r="C128" s="1" t="s">
        <v>0</v>
      </c>
      <c r="D128" s="1" t="s">
        <v>1</v>
      </c>
    </row>
    <row r="129" spans="1:4" x14ac:dyDescent="0.25">
      <c r="A129" s="1" t="s">
        <v>889</v>
      </c>
      <c r="B129" s="1" t="str">
        <f t="shared" si="1"/>
        <v>Homeowners</v>
      </c>
      <c r="C129" s="1" t="s">
        <v>0</v>
      </c>
    </row>
    <row r="130" spans="1:4" x14ac:dyDescent="0.25">
      <c r="A130" s="1" t="s">
        <v>125</v>
      </c>
      <c r="B130" s="1" t="str">
        <f t="shared" si="1"/>
        <v>Homeowners</v>
      </c>
      <c r="C130" s="1" t="s">
        <v>0</v>
      </c>
    </row>
    <row r="131" spans="1:4" x14ac:dyDescent="0.25">
      <c r="A131" s="1" t="s">
        <v>595</v>
      </c>
      <c r="B131" s="1" t="str">
        <f t="shared" si="1"/>
        <v>Homeowners</v>
      </c>
      <c r="C131" s="1" t="s">
        <v>0</v>
      </c>
    </row>
    <row r="132" spans="1:4" x14ac:dyDescent="0.25">
      <c r="A132" s="1" t="s">
        <v>448</v>
      </c>
      <c r="B132" s="1" t="str">
        <f t="shared" ref="B132:B195" si="2">_xlfn.TEXTJOIN(CHAR(10),TRUE,C132:D132)</f>
        <v/>
      </c>
    </row>
    <row r="133" spans="1:4" x14ac:dyDescent="0.25">
      <c r="A133" s="1" t="s">
        <v>187</v>
      </c>
      <c r="B133" s="1" t="str">
        <f t="shared" si="2"/>
        <v>Homeowners</v>
      </c>
      <c r="C133" s="1" t="s">
        <v>0</v>
      </c>
    </row>
    <row r="134" spans="1:4" ht="30" x14ac:dyDescent="0.25">
      <c r="A134" s="1" t="s">
        <v>860</v>
      </c>
      <c r="B134" s="1" t="str">
        <f t="shared" si="2"/>
        <v>Homeowners
Renters</v>
      </c>
      <c r="C134" s="1" t="s">
        <v>0</v>
      </c>
      <c r="D134" s="1" t="s">
        <v>1</v>
      </c>
    </row>
    <row r="135" spans="1:4" x14ac:dyDescent="0.25">
      <c r="A135" s="1" t="s">
        <v>83</v>
      </c>
      <c r="B135" s="1" t="str">
        <f t="shared" si="2"/>
        <v>Homeowners</v>
      </c>
      <c r="C135" s="1" t="s">
        <v>0</v>
      </c>
    </row>
    <row r="136" spans="1:4" x14ac:dyDescent="0.25">
      <c r="A136" s="1" t="s">
        <v>357</v>
      </c>
      <c r="B136" s="1" t="str">
        <f t="shared" si="2"/>
        <v>Homeowners</v>
      </c>
      <c r="C136" s="1" t="s">
        <v>0</v>
      </c>
    </row>
    <row r="137" spans="1:4" x14ac:dyDescent="0.25">
      <c r="A137" s="1" t="s">
        <v>413</v>
      </c>
      <c r="B137" s="1" t="str">
        <f t="shared" si="2"/>
        <v>Homeowners</v>
      </c>
      <c r="C137" s="1" t="s">
        <v>0</v>
      </c>
    </row>
    <row r="138" spans="1:4" ht="30" x14ac:dyDescent="0.25">
      <c r="A138" s="1" t="s">
        <v>250</v>
      </c>
      <c r="B138" s="1" t="str">
        <f t="shared" si="2"/>
        <v>Homeowners
Renters</v>
      </c>
      <c r="C138" s="1" t="s">
        <v>0</v>
      </c>
      <c r="D138" s="1" t="s">
        <v>1</v>
      </c>
    </row>
    <row r="139" spans="1:4" x14ac:dyDescent="0.25">
      <c r="A139" s="1" t="s">
        <v>900</v>
      </c>
      <c r="B139" s="1" t="str">
        <f t="shared" si="2"/>
        <v>Homeowners</v>
      </c>
      <c r="C139" s="1" t="s">
        <v>0</v>
      </c>
    </row>
    <row r="140" spans="1:4" ht="30" x14ac:dyDescent="0.25">
      <c r="A140" s="1" t="s">
        <v>136</v>
      </c>
      <c r="B140" s="1" t="str">
        <f t="shared" si="2"/>
        <v>Homeowners
Renters</v>
      </c>
      <c r="C140" s="1" t="s">
        <v>0</v>
      </c>
      <c r="D140" s="1" t="s">
        <v>1</v>
      </c>
    </row>
    <row r="141" spans="1:4" ht="30" x14ac:dyDescent="0.25">
      <c r="A141" s="1" t="s">
        <v>535</v>
      </c>
      <c r="B141" s="1" t="str">
        <f t="shared" si="2"/>
        <v/>
      </c>
    </row>
    <row r="142" spans="1:4" ht="30" x14ac:dyDescent="0.25">
      <c r="A142" s="1" t="s">
        <v>951</v>
      </c>
      <c r="B142" s="1" t="str">
        <f t="shared" si="2"/>
        <v>Homeowners
Renters</v>
      </c>
      <c r="C142" s="1" t="s">
        <v>0</v>
      </c>
      <c r="D142" s="1" t="s">
        <v>1</v>
      </c>
    </row>
    <row r="143" spans="1:4" ht="30" x14ac:dyDescent="0.25">
      <c r="A143" s="1" t="s">
        <v>145</v>
      </c>
      <c r="B143" s="1" t="str">
        <f t="shared" si="2"/>
        <v>Homeowners
Renters</v>
      </c>
      <c r="C143" s="1" t="s">
        <v>0</v>
      </c>
      <c r="D143" s="1" t="s">
        <v>1</v>
      </c>
    </row>
    <row r="144" spans="1:4" x14ac:dyDescent="0.25">
      <c r="A144" s="1" t="s">
        <v>948</v>
      </c>
      <c r="B144" s="1" t="str">
        <f t="shared" si="2"/>
        <v>Homeowners</v>
      </c>
      <c r="C144" s="1" t="s">
        <v>0</v>
      </c>
    </row>
    <row r="145" spans="1:4" x14ac:dyDescent="0.25">
      <c r="A145" s="1" t="s">
        <v>880</v>
      </c>
      <c r="B145" s="1" t="str">
        <f t="shared" si="2"/>
        <v>Homeowners</v>
      </c>
      <c r="C145" s="1" t="s">
        <v>0</v>
      </c>
    </row>
    <row r="146" spans="1:4" x14ac:dyDescent="0.25">
      <c r="A146" s="1" t="s">
        <v>431</v>
      </c>
      <c r="B146" s="1" t="str">
        <f t="shared" si="2"/>
        <v>Homeowners</v>
      </c>
      <c r="C146" s="1" t="s">
        <v>0</v>
      </c>
    </row>
    <row r="147" spans="1:4" x14ac:dyDescent="0.25">
      <c r="A147" s="1" t="s">
        <v>363</v>
      </c>
      <c r="B147" s="1" t="str">
        <f t="shared" si="2"/>
        <v>Homeowners</v>
      </c>
      <c r="C147" s="1" t="s">
        <v>0</v>
      </c>
    </row>
    <row r="148" spans="1:4" ht="30" x14ac:dyDescent="0.25">
      <c r="A148" s="1" t="s">
        <v>468</v>
      </c>
      <c r="B148" s="1" t="str">
        <f t="shared" si="2"/>
        <v>Homeowners
Renters</v>
      </c>
      <c r="C148" s="1" t="s">
        <v>0</v>
      </c>
      <c r="D148" s="1" t="s">
        <v>1</v>
      </c>
    </row>
    <row r="149" spans="1:4" x14ac:dyDescent="0.25">
      <c r="A149" s="1" t="s">
        <v>935</v>
      </c>
      <c r="B149" s="1" t="str">
        <f t="shared" si="2"/>
        <v>Homeowners</v>
      </c>
      <c r="C149" s="1" t="s">
        <v>0</v>
      </c>
    </row>
    <row r="150" spans="1:4" x14ac:dyDescent="0.25">
      <c r="A150" s="1" t="s">
        <v>1036</v>
      </c>
      <c r="B150" s="1" t="str">
        <f t="shared" si="2"/>
        <v>Homeowners</v>
      </c>
      <c r="C150" s="1" t="s">
        <v>0</v>
      </c>
    </row>
    <row r="151" spans="1:4" x14ac:dyDescent="0.25">
      <c r="A151" s="1" t="s">
        <v>264</v>
      </c>
      <c r="B151" s="1" t="str">
        <f t="shared" si="2"/>
        <v>Homeowners</v>
      </c>
      <c r="C151" s="1" t="s">
        <v>0</v>
      </c>
    </row>
    <row r="152" spans="1:4" ht="30" x14ac:dyDescent="0.25">
      <c r="A152" s="1" t="s">
        <v>286</v>
      </c>
      <c r="B152" s="1" t="str">
        <f t="shared" si="2"/>
        <v>Homeowners
Renters</v>
      </c>
      <c r="C152" s="1" t="s">
        <v>0</v>
      </c>
      <c r="D152" s="1" t="s">
        <v>1</v>
      </c>
    </row>
    <row r="153" spans="1:4" x14ac:dyDescent="0.25">
      <c r="A153" s="1" t="s">
        <v>983</v>
      </c>
      <c r="B153" s="1" t="str">
        <f t="shared" si="2"/>
        <v>Homeowners</v>
      </c>
      <c r="C153" s="1" t="s">
        <v>0</v>
      </c>
    </row>
    <row r="154" spans="1:4" x14ac:dyDescent="0.25">
      <c r="A154" s="1" t="s">
        <v>903</v>
      </c>
      <c r="B154" s="1" t="str">
        <f t="shared" si="2"/>
        <v/>
      </c>
    </row>
    <row r="155" spans="1:4" x14ac:dyDescent="0.25">
      <c r="A155" s="1" t="s">
        <v>559</v>
      </c>
      <c r="B155" s="1" t="str">
        <f t="shared" si="2"/>
        <v>Homeowners</v>
      </c>
      <c r="C155" s="1" t="s">
        <v>0</v>
      </c>
    </row>
    <row r="156" spans="1:4" x14ac:dyDescent="0.25">
      <c r="A156" s="1" t="s">
        <v>156</v>
      </c>
      <c r="B156" s="1" t="str">
        <f t="shared" si="2"/>
        <v>Homeowners</v>
      </c>
      <c r="C156" s="1" t="s">
        <v>0</v>
      </c>
    </row>
    <row r="157" spans="1:4" x14ac:dyDescent="0.25">
      <c r="A157" s="1" t="s">
        <v>910</v>
      </c>
      <c r="B157" s="1" t="str">
        <f t="shared" si="2"/>
        <v>Homeowners</v>
      </c>
      <c r="C157" s="1" t="s">
        <v>0</v>
      </c>
    </row>
    <row r="158" spans="1:4" ht="30" x14ac:dyDescent="0.25">
      <c r="A158" s="1" t="s">
        <v>921</v>
      </c>
      <c r="B158" s="1" t="str">
        <f t="shared" si="2"/>
        <v>Homeowners
Renters</v>
      </c>
      <c r="C158" s="1" t="s">
        <v>0</v>
      </c>
      <c r="D158" s="1" t="s">
        <v>1</v>
      </c>
    </row>
    <row r="159" spans="1:4" x14ac:dyDescent="0.25">
      <c r="A159" s="1" t="s">
        <v>940</v>
      </c>
      <c r="B159" s="1" t="str">
        <f t="shared" si="2"/>
        <v>Homeowners</v>
      </c>
      <c r="C159" s="1" t="s">
        <v>0</v>
      </c>
    </row>
    <row r="160" spans="1:4" ht="30" x14ac:dyDescent="0.25">
      <c r="A160" s="1" t="s">
        <v>484</v>
      </c>
      <c r="B160" s="1" t="str">
        <f t="shared" si="2"/>
        <v>Homeowners
Renters</v>
      </c>
      <c r="C160" s="1" t="s">
        <v>0</v>
      </c>
      <c r="D160" s="1" t="s">
        <v>1</v>
      </c>
    </row>
    <row r="161" spans="1:4" x14ac:dyDescent="0.25">
      <c r="A161" s="1" t="s">
        <v>909</v>
      </c>
      <c r="B161" s="1" t="str">
        <f t="shared" si="2"/>
        <v>Homeowners</v>
      </c>
      <c r="C161" s="1" t="s">
        <v>0</v>
      </c>
    </row>
    <row r="162" spans="1:4" ht="30" x14ac:dyDescent="0.25">
      <c r="A162" s="1" t="s">
        <v>439</v>
      </c>
      <c r="B162" s="1" t="str">
        <f t="shared" si="2"/>
        <v>Homeowners
Renters</v>
      </c>
      <c r="C162" s="1" t="s">
        <v>0</v>
      </c>
      <c r="D162" s="1" t="s">
        <v>1</v>
      </c>
    </row>
    <row r="163" spans="1:4" x14ac:dyDescent="0.25">
      <c r="A163" s="1" t="s">
        <v>541</v>
      </c>
      <c r="B163" s="1" t="str">
        <f t="shared" si="2"/>
        <v>Homeowners</v>
      </c>
      <c r="C163" s="1" t="s">
        <v>0</v>
      </c>
    </row>
    <row r="164" spans="1:4" x14ac:dyDescent="0.25">
      <c r="A164" s="1" t="s">
        <v>423</v>
      </c>
      <c r="B164" s="1" t="str">
        <f t="shared" si="2"/>
        <v/>
      </c>
    </row>
    <row r="165" spans="1:4" ht="30" x14ac:dyDescent="0.25">
      <c r="A165" s="1" t="s">
        <v>354</v>
      </c>
      <c r="B165" s="1" t="str">
        <f t="shared" si="2"/>
        <v>Homeowners
Renters</v>
      </c>
      <c r="C165" s="1" t="s">
        <v>0</v>
      </c>
      <c r="D165" s="1" t="s">
        <v>1</v>
      </c>
    </row>
    <row r="166" spans="1:4" x14ac:dyDescent="0.25">
      <c r="A166" s="1" t="s">
        <v>278</v>
      </c>
      <c r="B166" s="1" t="str">
        <f t="shared" si="2"/>
        <v>Homeowners</v>
      </c>
      <c r="C166" s="1" t="s">
        <v>0</v>
      </c>
    </row>
    <row r="167" spans="1:4" x14ac:dyDescent="0.25">
      <c r="A167" s="1" t="s">
        <v>341</v>
      </c>
      <c r="B167" s="1" t="str">
        <f t="shared" si="2"/>
        <v>Homeowners</v>
      </c>
      <c r="C167" s="1" t="s">
        <v>0</v>
      </c>
    </row>
    <row r="168" spans="1:4" ht="30" x14ac:dyDescent="0.25">
      <c r="A168" s="1" t="s">
        <v>854</v>
      </c>
      <c r="B168" s="1" t="str">
        <f t="shared" si="2"/>
        <v>Homeowners
Renters</v>
      </c>
      <c r="C168" s="1" t="s">
        <v>0</v>
      </c>
      <c r="D168" s="1" t="s">
        <v>1</v>
      </c>
    </row>
    <row r="169" spans="1:4" x14ac:dyDescent="0.25">
      <c r="A169" s="1" t="s">
        <v>312</v>
      </c>
      <c r="B169" s="1" t="str">
        <f t="shared" si="2"/>
        <v>Homeowners</v>
      </c>
      <c r="C169" s="1" t="s">
        <v>0</v>
      </c>
    </row>
    <row r="170" spans="1:4" x14ac:dyDescent="0.25">
      <c r="A170" s="1" t="s">
        <v>465</v>
      </c>
      <c r="B170" s="1" t="str">
        <f t="shared" si="2"/>
        <v>Homeowners</v>
      </c>
      <c r="C170" s="1" t="s">
        <v>0</v>
      </c>
    </row>
    <row r="171" spans="1:4" ht="30" x14ac:dyDescent="0.25">
      <c r="A171" s="1" t="s">
        <v>394</v>
      </c>
      <c r="B171" s="1" t="str">
        <f t="shared" si="2"/>
        <v>Homeowners
Renters</v>
      </c>
      <c r="C171" s="1" t="s">
        <v>0</v>
      </c>
      <c r="D171" s="1" t="s">
        <v>1</v>
      </c>
    </row>
    <row r="172" spans="1:4" x14ac:dyDescent="0.25">
      <c r="A172" s="1" t="s">
        <v>890</v>
      </c>
      <c r="B172" s="1" t="str">
        <f t="shared" si="2"/>
        <v>Homeowners</v>
      </c>
      <c r="C172" s="1" t="s">
        <v>0</v>
      </c>
    </row>
    <row r="173" spans="1:4" ht="30" x14ac:dyDescent="0.25">
      <c r="A173" s="1" t="s">
        <v>171</v>
      </c>
      <c r="B173" s="1" t="str">
        <f t="shared" si="2"/>
        <v/>
      </c>
    </row>
    <row r="174" spans="1:4" x14ac:dyDescent="0.25">
      <c r="A174" s="1" t="s">
        <v>405</v>
      </c>
      <c r="B174" s="1" t="str">
        <f t="shared" si="2"/>
        <v>Homeowners</v>
      </c>
      <c r="C174" s="1" t="s">
        <v>0</v>
      </c>
    </row>
    <row r="175" spans="1:4" x14ac:dyDescent="0.25">
      <c r="A175" s="1" t="s">
        <v>237</v>
      </c>
      <c r="B175" s="1" t="str">
        <f t="shared" si="2"/>
        <v>Homeowners</v>
      </c>
      <c r="C175" s="1" t="s">
        <v>0</v>
      </c>
    </row>
    <row r="176" spans="1:4" ht="30" x14ac:dyDescent="0.25">
      <c r="A176" s="1" t="s">
        <v>290</v>
      </c>
      <c r="B176" s="1" t="str">
        <f t="shared" si="2"/>
        <v>Homeowners
Renters</v>
      </c>
      <c r="C176" s="1" t="s">
        <v>0</v>
      </c>
      <c r="D176" s="1" t="s">
        <v>1</v>
      </c>
    </row>
    <row r="177" spans="1:4" x14ac:dyDescent="0.25">
      <c r="A177" s="1" t="s">
        <v>630</v>
      </c>
      <c r="B177" s="1" t="str">
        <f t="shared" si="2"/>
        <v/>
      </c>
    </row>
    <row r="178" spans="1:4" x14ac:dyDescent="0.25">
      <c r="A178" s="1" t="s">
        <v>139</v>
      </c>
      <c r="B178" s="1" t="str">
        <f t="shared" si="2"/>
        <v>Homeowners</v>
      </c>
      <c r="C178" s="1" t="s">
        <v>0</v>
      </c>
    </row>
    <row r="179" spans="1:4" x14ac:dyDescent="0.25">
      <c r="A179" s="1" t="s">
        <v>886</v>
      </c>
      <c r="B179" s="1" t="str">
        <f t="shared" si="2"/>
        <v/>
      </c>
    </row>
    <row r="180" spans="1:4" x14ac:dyDescent="0.25">
      <c r="A180" s="1" t="s">
        <v>934</v>
      </c>
      <c r="B180" s="1" t="str">
        <f t="shared" si="2"/>
        <v>Homeowners</v>
      </c>
      <c r="C180" s="1" t="s">
        <v>0</v>
      </c>
    </row>
    <row r="181" spans="1:4" x14ac:dyDescent="0.25">
      <c r="A181" s="1" t="s">
        <v>562</v>
      </c>
      <c r="B181" s="1" t="str">
        <f t="shared" si="2"/>
        <v>Homeowners</v>
      </c>
      <c r="C181" s="1" t="s">
        <v>0</v>
      </c>
    </row>
    <row r="182" spans="1:4" x14ac:dyDescent="0.25">
      <c r="A182" s="1" t="s">
        <v>933</v>
      </c>
      <c r="B182" s="1" t="str">
        <f t="shared" si="2"/>
        <v/>
      </c>
    </row>
    <row r="183" spans="1:4" ht="30" x14ac:dyDescent="0.25">
      <c r="A183" s="1" t="s">
        <v>874</v>
      </c>
      <c r="B183" s="1" t="str">
        <f t="shared" si="2"/>
        <v>Homeowners
Renters</v>
      </c>
      <c r="C183" s="1" t="s">
        <v>0</v>
      </c>
      <c r="D183" s="1" t="s">
        <v>1</v>
      </c>
    </row>
    <row r="184" spans="1:4" x14ac:dyDescent="0.25">
      <c r="A184" s="1" t="s">
        <v>893</v>
      </c>
      <c r="B184" s="1" t="str">
        <f t="shared" si="2"/>
        <v>Homeowners</v>
      </c>
      <c r="C184" s="1" t="s">
        <v>0</v>
      </c>
    </row>
    <row r="185" spans="1:4" x14ac:dyDescent="0.25">
      <c r="A185" s="1" t="s">
        <v>491</v>
      </c>
      <c r="B185" s="1" t="str">
        <f t="shared" si="2"/>
        <v>Homeowners</v>
      </c>
      <c r="C185" s="1" t="s">
        <v>0</v>
      </c>
    </row>
    <row r="186" spans="1:4" x14ac:dyDescent="0.25">
      <c r="A186" s="1" t="s">
        <v>64</v>
      </c>
      <c r="B186" s="1" t="str">
        <f t="shared" si="2"/>
        <v>Homeowners</v>
      </c>
      <c r="C186" s="1" t="s">
        <v>0</v>
      </c>
    </row>
    <row r="187" spans="1:4" x14ac:dyDescent="0.25">
      <c r="A187" s="1" t="s">
        <v>91</v>
      </c>
      <c r="B187" s="1" t="str">
        <f t="shared" si="2"/>
        <v>Homeowners</v>
      </c>
      <c r="C187" s="1" t="s">
        <v>0</v>
      </c>
    </row>
    <row r="188" spans="1:4" ht="30" x14ac:dyDescent="0.25">
      <c r="A188" s="1" t="s">
        <v>922</v>
      </c>
      <c r="B188" s="1" t="str">
        <f t="shared" si="2"/>
        <v>Homeowners
Renters</v>
      </c>
      <c r="C188" s="1" t="s">
        <v>0</v>
      </c>
      <c r="D188" s="1" t="s">
        <v>1</v>
      </c>
    </row>
    <row r="189" spans="1:4" x14ac:dyDescent="0.25">
      <c r="A189" s="1" t="s">
        <v>864</v>
      </c>
      <c r="B189" s="1" t="str">
        <f t="shared" si="2"/>
        <v>Homeowners</v>
      </c>
      <c r="C189" s="1" t="s">
        <v>0</v>
      </c>
    </row>
    <row r="190" spans="1:4" ht="30" x14ac:dyDescent="0.25">
      <c r="A190" s="1" t="s">
        <v>897</v>
      </c>
      <c r="B190" s="1" t="str">
        <f t="shared" si="2"/>
        <v>Homeowners
Renters</v>
      </c>
      <c r="C190" s="1" t="s">
        <v>0</v>
      </c>
      <c r="D190" s="1" t="s">
        <v>1</v>
      </c>
    </row>
    <row r="191" spans="1:4" x14ac:dyDescent="0.25">
      <c r="A191" s="1" t="s">
        <v>454</v>
      </c>
      <c r="B191" s="1" t="str">
        <f t="shared" si="2"/>
        <v>Homeowners</v>
      </c>
      <c r="C191" s="1" t="s">
        <v>0</v>
      </c>
    </row>
    <row r="192" spans="1:4" x14ac:dyDescent="0.25">
      <c r="A192" s="1" t="s">
        <v>905</v>
      </c>
      <c r="B192" s="1" t="str">
        <f t="shared" si="2"/>
        <v>Homeowners</v>
      </c>
      <c r="C192" s="1" t="s">
        <v>0</v>
      </c>
    </row>
    <row r="193" spans="1:4" x14ac:dyDescent="0.25">
      <c r="A193" s="1" t="s">
        <v>953</v>
      </c>
      <c r="B193" s="1" t="str">
        <f t="shared" si="2"/>
        <v>Homeowners</v>
      </c>
      <c r="C193" s="1" t="s">
        <v>0</v>
      </c>
    </row>
    <row r="194" spans="1:4" x14ac:dyDescent="0.25">
      <c r="A194" s="1" t="s">
        <v>106</v>
      </c>
      <c r="B194" s="1" t="str">
        <f t="shared" si="2"/>
        <v>Homeowners</v>
      </c>
      <c r="C194" s="1" t="s">
        <v>0</v>
      </c>
    </row>
    <row r="195" spans="1:4" ht="30" x14ac:dyDescent="0.25">
      <c r="A195" s="1" t="s">
        <v>501</v>
      </c>
      <c r="B195" s="1" t="str">
        <f t="shared" si="2"/>
        <v>Homeowners
Renters</v>
      </c>
      <c r="C195" s="1" t="s">
        <v>0</v>
      </c>
      <c r="D195" s="1" t="s">
        <v>1</v>
      </c>
    </row>
    <row r="196" spans="1:4" x14ac:dyDescent="0.25">
      <c r="A196" s="1" t="s">
        <v>891</v>
      </c>
      <c r="B196" s="1" t="str">
        <f t="shared" ref="B196:B259" si="3">_xlfn.TEXTJOIN(CHAR(10),TRUE,C196:D196)</f>
        <v/>
      </c>
    </row>
    <row r="197" spans="1:4" ht="30" x14ac:dyDescent="0.25">
      <c r="A197" s="1" t="s">
        <v>96</v>
      </c>
      <c r="B197" s="1" t="str">
        <f t="shared" si="3"/>
        <v>Homeowners
Renters</v>
      </c>
      <c r="C197" s="1" t="s">
        <v>0</v>
      </c>
      <c r="D197" s="1" t="s">
        <v>1</v>
      </c>
    </row>
    <row r="198" spans="1:4" x14ac:dyDescent="0.25">
      <c r="A198" s="1" t="s">
        <v>861</v>
      </c>
      <c r="B198" s="1" t="str">
        <f t="shared" si="3"/>
        <v/>
      </c>
    </row>
    <row r="199" spans="1:4" x14ac:dyDescent="0.25">
      <c r="A199" s="1" t="s">
        <v>244</v>
      </c>
      <c r="B199" s="1" t="str">
        <f t="shared" si="3"/>
        <v/>
      </c>
    </row>
    <row r="200" spans="1:4" x14ac:dyDescent="0.25">
      <c r="A200" s="1" t="s">
        <v>318</v>
      </c>
      <c r="B200" s="1" t="str">
        <f t="shared" si="3"/>
        <v>Homeowners</v>
      </c>
      <c r="C200" s="1" t="s">
        <v>0</v>
      </c>
    </row>
    <row r="201" spans="1:4" x14ac:dyDescent="0.25">
      <c r="A201" s="1" t="s">
        <v>862</v>
      </c>
      <c r="B201" s="1" t="str">
        <f t="shared" si="3"/>
        <v>Homeowners</v>
      </c>
      <c r="C201" s="1" t="s">
        <v>0</v>
      </c>
    </row>
    <row r="202" spans="1:4" ht="30" x14ac:dyDescent="0.25">
      <c r="A202" s="1" t="s">
        <v>476</v>
      </c>
      <c r="B202" s="1" t="str">
        <f t="shared" si="3"/>
        <v>Homeowners
Renters</v>
      </c>
      <c r="C202" s="1" t="s">
        <v>0</v>
      </c>
      <c r="D202" s="1" t="s">
        <v>1</v>
      </c>
    </row>
    <row r="203" spans="1:4" ht="30" x14ac:dyDescent="0.25">
      <c r="A203" s="1" t="s">
        <v>160</v>
      </c>
      <c r="B203" s="1" t="str">
        <f t="shared" si="3"/>
        <v>Homeowners
Renters</v>
      </c>
      <c r="C203" s="1" t="s">
        <v>0</v>
      </c>
      <c r="D203" s="1" t="s">
        <v>1</v>
      </c>
    </row>
    <row r="204" spans="1:4" x14ac:dyDescent="0.25">
      <c r="A204" s="1" t="s">
        <v>420</v>
      </c>
      <c r="B204" s="1" t="str">
        <f t="shared" si="3"/>
        <v>Homeowners</v>
      </c>
      <c r="C204" s="1" t="s">
        <v>0</v>
      </c>
    </row>
    <row r="205" spans="1:4" ht="30" x14ac:dyDescent="0.25">
      <c r="A205" s="1" t="s">
        <v>227</v>
      </c>
      <c r="B205" s="1" t="str">
        <f t="shared" si="3"/>
        <v>Homeowners
Renters</v>
      </c>
      <c r="C205" s="1" t="s">
        <v>0</v>
      </c>
      <c r="D205" s="1" t="s">
        <v>1</v>
      </c>
    </row>
    <row r="206" spans="1:4" x14ac:dyDescent="0.25">
      <c r="A206" s="1" t="s">
        <v>950</v>
      </c>
      <c r="B206" s="1" t="str">
        <f t="shared" si="3"/>
        <v>Homeowners</v>
      </c>
      <c r="C206" s="1" t="s">
        <v>0</v>
      </c>
    </row>
    <row r="207" spans="1:4" x14ac:dyDescent="0.25">
      <c r="A207" s="1" t="s">
        <v>556</v>
      </c>
      <c r="B207" s="1" t="str">
        <f t="shared" si="3"/>
        <v>Homeowners</v>
      </c>
      <c r="C207" s="1" t="s">
        <v>0</v>
      </c>
    </row>
    <row r="208" spans="1:4" x14ac:dyDescent="0.25">
      <c r="A208" s="1" t="s">
        <v>894</v>
      </c>
      <c r="B208" s="1" t="str">
        <f t="shared" si="3"/>
        <v>Homeowners</v>
      </c>
      <c r="C208" s="1" t="s">
        <v>0</v>
      </c>
    </row>
    <row r="209" spans="1:4" x14ac:dyDescent="0.25">
      <c r="A209" s="1" t="s">
        <v>582</v>
      </c>
      <c r="B209" s="1" t="str">
        <f t="shared" si="3"/>
        <v>Homeowners</v>
      </c>
      <c r="C209" s="1" t="s">
        <v>0</v>
      </c>
    </row>
    <row r="210" spans="1:4" x14ac:dyDescent="0.25">
      <c r="A210" s="1" t="s">
        <v>333</v>
      </c>
      <c r="B210" s="1" t="str">
        <f t="shared" si="3"/>
        <v/>
      </c>
    </row>
    <row r="211" spans="1:4" x14ac:dyDescent="0.25">
      <c r="A211" s="1" t="s">
        <v>129</v>
      </c>
      <c r="B211" s="1" t="str">
        <f t="shared" si="3"/>
        <v>Homeowners</v>
      </c>
      <c r="C211" s="1" t="s">
        <v>0</v>
      </c>
    </row>
    <row r="212" spans="1:4" ht="30" x14ac:dyDescent="0.25">
      <c r="A212" s="1" t="s">
        <v>102</v>
      </c>
      <c r="B212" s="1" t="str">
        <f t="shared" si="3"/>
        <v>Homeowners
Renters</v>
      </c>
      <c r="C212" s="1" t="s">
        <v>0</v>
      </c>
      <c r="D212" s="1" t="s">
        <v>1</v>
      </c>
    </row>
    <row r="213" spans="1:4" x14ac:dyDescent="0.25">
      <c r="A213" s="1" t="s">
        <v>901</v>
      </c>
      <c r="B213" s="1" t="str">
        <f t="shared" si="3"/>
        <v>Homeowners</v>
      </c>
      <c r="C213" s="1" t="s">
        <v>0</v>
      </c>
    </row>
    <row r="214" spans="1:4" x14ac:dyDescent="0.25">
      <c r="A214" s="1" t="s">
        <v>337</v>
      </c>
      <c r="B214" s="1" t="str">
        <f t="shared" si="3"/>
        <v/>
      </c>
    </row>
    <row r="215" spans="1:4" ht="30" x14ac:dyDescent="0.25">
      <c r="A215" s="1" t="s">
        <v>925</v>
      </c>
      <c r="B215" s="1" t="str">
        <f t="shared" si="3"/>
        <v>Homeowners
Renters</v>
      </c>
      <c r="C215" s="1" t="s">
        <v>0</v>
      </c>
      <c r="D215" s="1" t="s">
        <v>1</v>
      </c>
    </row>
    <row r="216" spans="1:4" x14ac:dyDescent="0.25">
      <c r="A216" s="1" t="s">
        <v>297</v>
      </c>
      <c r="B216" s="1" t="str">
        <f t="shared" si="3"/>
        <v>Homeowners</v>
      </c>
      <c r="C216" s="1" t="s">
        <v>0</v>
      </c>
    </row>
    <row r="217" spans="1:4" ht="30" x14ac:dyDescent="0.25">
      <c r="A217" s="1" t="s">
        <v>919</v>
      </c>
      <c r="B217" s="1" t="str">
        <f t="shared" si="3"/>
        <v>Homeowners</v>
      </c>
      <c r="C217" s="1" t="s">
        <v>0</v>
      </c>
    </row>
    <row r="218" spans="1:4" x14ac:dyDescent="0.25">
      <c r="A218" s="1" t="s">
        <v>1055</v>
      </c>
      <c r="B218" s="1" t="str">
        <f t="shared" si="3"/>
        <v>Renters</v>
      </c>
      <c r="D218" s="1" t="s">
        <v>1</v>
      </c>
    </row>
    <row r="219" spans="1:4" ht="30" x14ac:dyDescent="0.25">
      <c r="A219" s="1" t="s">
        <v>77</v>
      </c>
      <c r="B219" s="1" t="str">
        <f t="shared" si="3"/>
        <v>Homeowners
Renters</v>
      </c>
      <c r="C219" s="1" t="s">
        <v>0</v>
      </c>
      <c r="D219" s="1" t="s">
        <v>1</v>
      </c>
    </row>
    <row r="220" spans="1:4" x14ac:dyDescent="0.25">
      <c r="A220" s="1" t="s">
        <v>444</v>
      </c>
      <c r="B220" s="1" t="str">
        <f t="shared" si="3"/>
        <v>Homeowners</v>
      </c>
      <c r="C220" s="1" t="s">
        <v>0</v>
      </c>
    </row>
    <row r="221" spans="1:4" ht="30" x14ac:dyDescent="0.25">
      <c r="A221" s="1" t="s">
        <v>887</v>
      </c>
      <c r="B221" s="1" t="str">
        <f t="shared" si="3"/>
        <v>Homeowners
Renters</v>
      </c>
      <c r="C221" s="1" t="s">
        <v>0</v>
      </c>
      <c r="D221" s="1" t="s">
        <v>1</v>
      </c>
    </row>
    <row r="222" spans="1:4" x14ac:dyDescent="0.25">
      <c r="A222" s="1" t="s">
        <v>572</v>
      </c>
      <c r="B222" s="1" t="str">
        <f t="shared" si="3"/>
        <v>Homeowners</v>
      </c>
      <c r="C222" s="1" t="s">
        <v>0</v>
      </c>
    </row>
    <row r="223" spans="1:4" x14ac:dyDescent="0.25">
      <c r="A223" s="1" t="s">
        <v>523</v>
      </c>
      <c r="B223" s="1" t="str">
        <f t="shared" si="3"/>
        <v>Homeowners</v>
      </c>
      <c r="C223" s="1" t="s">
        <v>0</v>
      </c>
    </row>
    <row r="224" spans="1:4" ht="30" x14ac:dyDescent="0.25">
      <c r="A224" s="1" t="s">
        <v>56</v>
      </c>
      <c r="B224" s="1" t="str">
        <f t="shared" si="3"/>
        <v>Homeowners
Renters</v>
      </c>
      <c r="C224" s="1" t="s">
        <v>0</v>
      </c>
      <c r="D224" s="1" t="s">
        <v>1</v>
      </c>
    </row>
    <row r="225" spans="1:4" x14ac:dyDescent="0.25">
      <c r="A225" s="1" t="s">
        <v>1303</v>
      </c>
      <c r="B225" s="1" t="str">
        <f t="shared" si="3"/>
        <v>Homeowners</v>
      </c>
      <c r="C225" s="1" t="s">
        <v>0</v>
      </c>
    </row>
    <row r="226" spans="1:4" ht="30" x14ac:dyDescent="0.25">
      <c r="A226" s="1" t="s">
        <v>1302</v>
      </c>
      <c r="B226" s="1" t="str">
        <f t="shared" si="3"/>
        <v>Homeowners
Renters</v>
      </c>
      <c r="C226" s="1" t="s">
        <v>0</v>
      </c>
      <c r="D226" s="1" t="s">
        <v>1</v>
      </c>
    </row>
    <row r="227" spans="1:4" ht="30" x14ac:dyDescent="0.25">
      <c r="A227" s="1" t="s">
        <v>195</v>
      </c>
      <c r="B227" s="1" t="str">
        <f t="shared" si="3"/>
        <v>Homeowners
Renters</v>
      </c>
      <c r="C227" s="1" t="s">
        <v>0</v>
      </c>
      <c r="D227" s="1" t="s">
        <v>1</v>
      </c>
    </row>
    <row r="228" spans="1:4" x14ac:dyDescent="0.25">
      <c r="A228" s="1" t="s">
        <v>1234</v>
      </c>
      <c r="B228" s="1" t="str">
        <f t="shared" si="3"/>
        <v>Homeowners</v>
      </c>
      <c r="C228" s="1" t="s">
        <v>0</v>
      </c>
    </row>
    <row r="229" spans="1:4" ht="30" x14ac:dyDescent="0.25">
      <c r="A229" s="1" t="s">
        <v>183</v>
      </c>
      <c r="B229" s="1" t="str">
        <f t="shared" si="3"/>
        <v>Homeowners
Renters</v>
      </c>
      <c r="C229" s="1" t="s">
        <v>0</v>
      </c>
      <c r="D229" s="1" t="s">
        <v>1</v>
      </c>
    </row>
    <row r="230" spans="1:4" ht="30" x14ac:dyDescent="0.25">
      <c r="A230" s="1" t="s">
        <v>370</v>
      </c>
      <c r="B230" s="1" t="str">
        <f t="shared" si="3"/>
        <v>Homeowners
Renters</v>
      </c>
      <c r="C230" s="1" t="s">
        <v>0</v>
      </c>
      <c r="D230" s="1" t="s">
        <v>1</v>
      </c>
    </row>
    <row r="231" spans="1:4" ht="30" x14ac:dyDescent="0.25">
      <c r="A231" s="1" t="s">
        <v>913</v>
      </c>
      <c r="B231" s="1" t="str">
        <f t="shared" si="3"/>
        <v>Homeowners
Renters</v>
      </c>
      <c r="C231" s="1" t="s">
        <v>0</v>
      </c>
      <c r="D231" s="1" t="s">
        <v>1</v>
      </c>
    </row>
    <row r="232" spans="1:4" x14ac:dyDescent="0.25">
      <c r="A232" s="1" t="s">
        <v>163</v>
      </c>
      <c r="B232" s="1" t="str">
        <f t="shared" si="3"/>
        <v>Homeowners</v>
      </c>
      <c r="C232" s="1" t="s">
        <v>0</v>
      </c>
    </row>
    <row r="233" spans="1:4" ht="30" x14ac:dyDescent="0.25">
      <c r="A233" s="1" t="s">
        <v>877</v>
      </c>
      <c r="B233" s="1" t="str">
        <f t="shared" si="3"/>
        <v>Homeowners
Renters</v>
      </c>
      <c r="C233" s="1" t="s">
        <v>0</v>
      </c>
      <c r="D233" s="1" t="s">
        <v>1</v>
      </c>
    </row>
    <row r="234" spans="1:4" x14ac:dyDescent="0.25">
      <c r="A234" s="1" t="s">
        <v>49</v>
      </c>
      <c r="B234" s="1" t="str">
        <f t="shared" si="3"/>
        <v>Homeowners</v>
      </c>
      <c r="C234" s="1" t="s">
        <v>0</v>
      </c>
    </row>
    <row r="235" spans="1:4" x14ac:dyDescent="0.25">
      <c r="A235" s="1" t="s">
        <v>544</v>
      </c>
      <c r="B235" s="1" t="str">
        <f t="shared" si="3"/>
        <v>Homeowners</v>
      </c>
      <c r="C235" s="1" t="s">
        <v>0</v>
      </c>
    </row>
    <row r="236" spans="1:4" x14ac:dyDescent="0.25">
      <c r="A236" s="1" t="s">
        <v>952</v>
      </c>
      <c r="B236" s="1" t="str">
        <f t="shared" si="3"/>
        <v/>
      </c>
    </row>
    <row r="237" spans="1:4" x14ac:dyDescent="0.25">
      <c r="A237" s="1" t="s">
        <v>856</v>
      </c>
      <c r="B237" s="1" t="str">
        <f t="shared" si="3"/>
        <v/>
      </c>
    </row>
    <row r="238" spans="1:4" ht="30" x14ac:dyDescent="0.25">
      <c r="A238" s="1" t="s">
        <v>118</v>
      </c>
      <c r="B238" s="1" t="str">
        <f t="shared" si="3"/>
        <v>Homeowners
Renters</v>
      </c>
      <c r="C238" s="1" t="s">
        <v>0</v>
      </c>
      <c r="D238" s="1" t="s">
        <v>1</v>
      </c>
    </row>
    <row r="239" spans="1:4" x14ac:dyDescent="0.25">
      <c r="A239" s="1" t="s">
        <v>1227</v>
      </c>
      <c r="B239" s="1" t="str">
        <f t="shared" si="3"/>
        <v>Homeowners</v>
      </c>
      <c r="C239" s="1" t="s">
        <v>0</v>
      </c>
    </row>
    <row r="240" spans="1:4" x14ac:dyDescent="0.25">
      <c r="A240" s="1" t="s">
        <v>513</v>
      </c>
      <c r="B240" s="1" t="str">
        <f t="shared" si="3"/>
        <v>Homeowners</v>
      </c>
      <c r="C240" s="1" t="s">
        <v>0</v>
      </c>
    </row>
    <row r="241" spans="1:4" x14ac:dyDescent="0.25">
      <c r="A241" s="1" t="s">
        <v>408</v>
      </c>
      <c r="B241" s="1" t="str">
        <f t="shared" si="3"/>
        <v/>
      </c>
    </row>
    <row r="242" spans="1:4" ht="30" x14ac:dyDescent="0.25">
      <c r="A242" s="1" t="s">
        <v>436</v>
      </c>
      <c r="B242" s="1" t="str">
        <f t="shared" si="3"/>
        <v>Homeowners
Renters</v>
      </c>
      <c r="C242" s="1" t="s">
        <v>0</v>
      </c>
      <c r="D242" s="1" t="s">
        <v>1</v>
      </c>
    </row>
    <row r="243" spans="1:4" x14ac:dyDescent="0.25">
      <c r="A243" s="1" t="s">
        <v>870</v>
      </c>
      <c r="B243" s="1" t="str">
        <f t="shared" si="3"/>
        <v>Homeowners</v>
      </c>
      <c r="C243" s="1" t="s">
        <v>0</v>
      </c>
    </row>
    <row r="244" spans="1:4" ht="30" x14ac:dyDescent="0.25">
      <c r="A244" s="1" t="s">
        <v>460</v>
      </c>
      <c r="B244" s="1" t="str">
        <f t="shared" si="3"/>
        <v>Homeowners
Renters</v>
      </c>
      <c r="C244" s="1" t="s">
        <v>0</v>
      </c>
      <c r="D244" s="1" t="s">
        <v>1</v>
      </c>
    </row>
    <row r="245" spans="1:4" x14ac:dyDescent="0.25">
      <c r="A245" s="1" t="s">
        <v>937</v>
      </c>
      <c r="B245" s="1" t="str">
        <f t="shared" si="3"/>
        <v>Homeowners</v>
      </c>
      <c r="C245" s="1" t="s">
        <v>0</v>
      </c>
    </row>
    <row r="246" spans="1:4" x14ac:dyDescent="0.25">
      <c r="A246" s="1" t="s">
        <v>80</v>
      </c>
      <c r="B246" s="1" t="str">
        <f t="shared" si="3"/>
        <v>Homeowners</v>
      </c>
      <c r="C246" s="1" t="s">
        <v>0</v>
      </c>
    </row>
    <row r="247" spans="1:4" x14ac:dyDescent="0.25">
      <c r="A247" s="1" t="s">
        <v>175</v>
      </c>
      <c r="B247" s="1" t="str">
        <f t="shared" si="3"/>
        <v>Homeowners</v>
      </c>
      <c r="C247" s="1" t="s">
        <v>0</v>
      </c>
    </row>
    <row r="248" spans="1:4" x14ac:dyDescent="0.25">
      <c r="A248" s="1" t="s">
        <v>884</v>
      </c>
      <c r="B248" s="1" t="str">
        <f t="shared" si="3"/>
        <v/>
      </c>
    </row>
    <row r="249" spans="1:4" x14ac:dyDescent="0.25">
      <c r="A249" s="1" t="s">
        <v>230</v>
      </c>
      <c r="B249" s="1" t="str">
        <f t="shared" si="3"/>
        <v>Homeowners</v>
      </c>
      <c r="C249" s="1" t="s">
        <v>0</v>
      </c>
    </row>
    <row r="250" spans="1:4" x14ac:dyDescent="0.25">
      <c r="A250" s="1" t="s">
        <v>45</v>
      </c>
      <c r="B250" s="1" t="str">
        <f t="shared" si="3"/>
        <v>Homeowners</v>
      </c>
      <c r="C250" s="1" t="s">
        <v>0</v>
      </c>
    </row>
    <row r="251" spans="1:4" ht="30" x14ac:dyDescent="0.25">
      <c r="A251" s="1" t="s">
        <v>301</v>
      </c>
      <c r="B251" s="1" t="str">
        <f t="shared" si="3"/>
        <v>Homeowners
Renters</v>
      </c>
      <c r="C251" s="1" t="s">
        <v>0</v>
      </c>
      <c r="D251" s="1" t="s">
        <v>1</v>
      </c>
    </row>
    <row r="252" spans="1:4" x14ac:dyDescent="0.25">
      <c r="A252" s="1" t="s">
        <v>947</v>
      </c>
      <c r="B252" s="1" t="str">
        <f t="shared" si="3"/>
        <v>Homeowners</v>
      </c>
      <c r="C252" s="1" t="s">
        <v>0</v>
      </c>
    </row>
    <row r="253" spans="1:4" ht="30" x14ac:dyDescent="0.25">
      <c r="A253" s="1" t="s">
        <v>1226</v>
      </c>
      <c r="B253" s="1" t="str">
        <f t="shared" si="3"/>
        <v>Homeowners</v>
      </c>
      <c r="C253" s="1" t="s">
        <v>0</v>
      </c>
    </row>
    <row r="254" spans="1:4" ht="30" x14ac:dyDescent="0.25">
      <c r="A254" s="1" t="s">
        <v>855</v>
      </c>
      <c r="B254" s="1" t="str">
        <f t="shared" si="3"/>
        <v>Homeowners
Renters</v>
      </c>
      <c r="C254" s="1" t="s">
        <v>0</v>
      </c>
      <c r="D254" s="1" t="s">
        <v>1</v>
      </c>
    </row>
    <row r="255" spans="1:4" x14ac:dyDescent="0.25">
      <c r="A255" s="1" t="s">
        <v>480</v>
      </c>
      <c r="B255" s="1" t="str">
        <f t="shared" si="3"/>
        <v>Homeowners</v>
      </c>
      <c r="C255" s="1" t="s">
        <v>0</v>
      </c>
    </row>
    <row r="256" spans="1:4" ht="30" x14ac:dyDescent="0.25">
      <c r="A256" s="1" t="s">
        <v>315</v>
      </c>
      <c r="B256" s="1" t="str">
        <f t="shared" si="3"/>
        <v>Homeowners
Renters</v>
      </c>
      <c r="C256" s="1" t="s">
        <v>0</v>
      </c>
      <c r="D256" s="1" t="s">
        <v>1</v>
      </c>
    </row>
    <row r="257" spans="1:4" ht="30" x14ac:dyDescent="0.25">
      <c r="A257" s="1" t="s">
        <v>927</v>
      </c>
      <c r="B257" s="1" t="str">
        <f t="shared" si="3"/>
        <v>Homeowners
Renters</v>
      </c>
      <c r="C257" s="1" t="s">
        <v>0</v>
      </c>
      <c r="D257" s="1" t="s">
        <v>1</v>
      </c>
    </row>
    <row r="258" spans="1:4" ht="30" x14ac:dyDescent="0.25">
      <c r="A258" s="1" t="s">
        <v>344</v>
      </c>
      <c r="B258" s="1" t="str">
        <f t="shared" si="3"/>
        <v>Homeowners
Renters</v>
      </c>
      <c r="C258" s="1" t="s">
        <v>0</v>
      </c>
      <c r="D258" s="1" t="s">
        <v>1</v>
      </c>
    </row>
    <row r="259" spans="1:4" x14ac:dyDescent="0.25">
      <c r="A259" s="1" t="s">
        <v>902</v>
      </c>
      <c r="B259" s="1" t="str">
        <f t="shared" si="3"/>
        <v>Renters</v>
      </c>
      <c r="D259" s="1" t="s">
        <v>1</v>
      </c>
    </row>
    <row r="260" spans="1:4" x14ac:dyDescent="0.25">
      <c r="A260" s="1" t="s">
        <v>944</v>
      </c>
      <c r="B260" s="1" t="str">
        <f t="shared" ref="B260:B262" si="4">_xlfn.TEXTJOIN(CHAR(10),TRUE,C260:D260)</f>
        <v>Homeowners</v>
      </c>
      <c r="C260" s="1" t="s">
        <v>0</v>
      </c>
    </row>
    <row r="261" spans="1:4" x14ac:dyDescent="0.25">
      <c r="A261" s="1" t="s">
        <v>871</v>
      </c>
      <c r="B261" s="1" t="str">
        <f t="shared" si="4"/>
        <v>Homeowners</v>
      </c>
      <c r="C261" s="1" t="s">
        <v>0</v>
      </c>
    </row>
    <row r="262" spans="1:4" x14ac:dyDescent="0.25">
      <c r="A262" s="1" t="s">
        <v>885</v>
      </c>
      <c r="B262" s="1" t="str">
        <f t="shared" si="4"/>
        <v>Homeowners</v>
      </c>
      <c r="C262" s="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11E4B0C-18BF-4D2D-A120-5CCC9B4C0F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Search By Installer</vt:lpstr>
      <vt:lpstr>Search by County</vt:lpstr>
      <vt:lpstr>Counties Served (2)</vt:lpstr>
      <vt:lpstr>Company Info (2)</vt:lpstr>
      <vt:lpstr>Company Info</vt:lpstr>
      <vt:lpstr>Counties Served</vt:lpstr>
      <vt:lpstr>CA Counties</vt:lpstr>
      <vt:lpstr>Languages Spoken</vt:lpstr>
      <vt:lpstr>Housing Type</vt:lpstr>
      <vt:lpstr>Building Type</vt:lpstr>
      <vt:lpstr>Resident 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Palmeira, Monica</cp:lastModifiedBy>
  <dcterms:created xsi:type="dcterms:W3CDTF">2020-05-18T18:52:00Z</dcterms:created>
  <dcterms:modified xsi:type="dcterms:W3CDTF">2020-05-29T21:40:04Z</dcterms:modified>
</cp:coreProperties>
</file>