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08"/>
  <workbookPr/>
  <mc:AlternateContent xmlns:mc="http://schemas.openxmlformats.org/markup-compatibility/2006">
    <mc:Choice Requires="x15">
      <x15ac:absPath xmlns:x15ac="http://schemas.microsoft.com/office/spreadsheetml/2010/11/ac" url="C:\Users\Akhilesh Reddy\OneDrive - Lincus, Inc(1)\Documents\WP Supporting Docs\Fuel Substitution\Technical Guidance\Fuel Sub Calculators\"/>
    </mc:Choice>
  </mc:AlternateContent>
  <xr:revisionPtr revIDLastSave="0" documentId="8_{64FABE08-5265-44AE-8D1E-375D9595E550}" xr6:coauthVersionLast="45" xr6:coauthVersionMax="45" xr10:uidLastSave="{00000000-0000-0000-0000-000000000000}"/>
  <bookViews>
    <workbookView xWindow="20370" yWindow="-3630" windowWidth="29040" windowHeight="15840" firstSheet="1" activeTab="1" xr2:uid="{00000000-000D-0000-FFFF-FFFF00000000}"/>
  </bookViews>
  <sheets>
    <sheet name="Introduction" sheetId="6" r:id="rId1"/>
    <sheet name="Fuel Sub Calcs" sheetId="7" r:id="rId2"/>
    <sheet name="Dropdown" sheetId="8" r:id="rId3"/>
    <sheet name="Time series tables" sheetId="9" r:id="rId4"/>
    <sheet name="E3 Cover" sheetId="5" state="hidden" r:id="rId5"/>
    <sheet name="Annual Factors" sheetId="1" r:id="rId6"/>
    <sheet name="Long-run Emissions Inputs" sheetId="3" r:id="rId7"/>
    <sheet name="Reference" sheetId="4" r:id="rId8"/>
  </sheets>
  <externalReferences>
    <externalReference r:id="rId9"/>
    <externalReference r:id="rId10"/>
  </externalReferences>
  <definedNames>
    <definedName name="__123Graph_A" hidden="1">[1]Sheet1!#REF!</definedName>
    <definedName name="__123Graph_ADA" hidden="1">[1]Sheet1!#REF!</definedName>
    <definedName name="__123Graph_ADEPREC2" hidden="1">[1]Sheet1!#REF!</definedName>
    <definedName name="__123Graph_ATREND" hidden="1">[1]Sheet1!#REF!</definedName>
    <definedName name="__123Graph_B" hidden="1">[1]Sheet1!#REF!</definedName>
    <definedName name="__123Graph_BTREND" hidden="1">[1]Sheet1!#REF!</definedName>
    <definedName name="__123Graph_C" hidden="1">[1]Sheet1!#REF!</definedName>
    <definedName name="__123Graph_CTREND" hidden="1">[1]Sheet1!#REF!</definedName>
    <definedName name="__123Graph_X" hidden="1">[1]Sheet1!#REF!</definedName>
    <definedName name="__123Graph_XTREND" hidden="1">[1]Sheet1!#REF!</definedName>
    <definedName name="__FDS_HYPERLINK_TOGGLE_STATE__" hidden="1">"ON"</definedName>
    <definedName name="_1__123Graph_A_FABP_L.WK1_FAB" hidden="1">[1]Sheet1!#REF!</definedName>
    <definedName name="_2__123Graph_ADEPREC" hidden="1">[1]Sheet1!#REF!</definedName>
    <definedName name="_3__123Graph_B_FABP_L.WK1_FAB" hidden="1">[1]Sheet1!#REF!</definedName>
    <definedName name="_4__123Graph_C_FABP_L.WK1_FAB" hidden="1">[1]Sheet1!#REF!</definedName>
    <definedName name="_5__123Graph_X_FABP_L.WK1_FAB" hidden="1">[1]Sheet1!#REF!</definedName>
    <definedName name="_Fill" hidden="1">#REF!</definedName>
    <definedName name="_xlnm._FilterDatabase" localSheetId="3" hidden="1">'Time series tables'!$B$13:$AS$36</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nscount" hidden="1">3</definedName>
    <definedName name="BLPB1" hidden="1">'[2]One-Pager'!$A$5</definedName>
    <definedName name="BLPB2" hidden="1">'[2]One-Pager'!$B$5</definedName>
    <definedName name="BLPB3" hidden="1">'[2]One-Pager'!$A$6</definedName>
    <definedName name="BLPB4" hidden="1">'[2]One-Pager'!$A$2</definedName>
    <definedName name="BLPB5" hidden="1">'[2]One-Pager'!$Q$3</definedName>
    <definedName name="BLPB6" hidden="1">'[2]One-Pager'!$I$2</definedName>
    <definedName name="BLPB7" hidden="1">'[2]One-Pager'!$G$2</definedName>
    <definedName name="BLPB8" hidden="1">'[2]One-Pager'!$F$6</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tu_per_kWh">Reference!$D$8</definedName>
    <definedName name="Btu_therm">Reference!$D$7</definedName>
    <definedName name="CCGT_Heat_Rate_btu_per_kwh">Reference!$D$14</definedName>
    <definedName name="dropdown_Fuel">Dropdown!$C$3:$C$5</definedName>
    <definedName name="dropdown_MAT">Dropdown!$B$3:$B$4</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6_1aUdv1"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uel_electricity">Dropdown!$C$4</definedName>
    <definedName name="fuel_natural_gas">Dropdown!$C$3</definedName>
    <definedName name="HTML_CodePage" hidden="1">1252</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MAT_AR">Dropdown!$B$4</definedName>
    <definedName name="MAT_NR">Dropdown!$B$3</definedName>
    <definedName name="MMBtu_per_therm">Reference!$D$6</definedName>
    <definedName name="NG_metric_tonne_CO2_therm">Reference!$D$10</definedName>
    <definedName name="sencount" hidden="1">1</definedName>
    <definedName name="Short_Ton_per_Metric_Tonne">Reference!$D$5</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wrn.ALL." hidden="1">{#N/A,#N/A,FALSE,"ASSUMPTIONS";#N/A,#N/A,FALSE,"Valuation Summary";"page1",#N/A,FALSE,"PRESENTATION";"page2",#N/A,FALSE,"PRESENTATION";#N/A,#N/A,FALSE,"ORIGINAL_ROLLBACK"}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PRES_OUT."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hidden="1">{"CURRENT",#N/A,FALSE,"REGISTER"}</definedName>
    <definedName name="wrn.PRINT_HISTORY." hidden="1">{"HISTORY",#N/A,FALSE,"REGISTER"}</definedName>
    <definedName name="wrn.printall." hidden="1">{"page1",#N/A,FALSE,"DCM";"page2",#N/A,FALSE,"DCM";"page3",#N/A,FALSE,"DCM";"page4",#N/A,FALSE,"DCM";"page5",#N/A,FALSE,"DCM";"page6",#N/A,FALSE,"DCM";"page7",#N/A,FALSE,"DCM";"page8",#N/A,FALSE,"DCM"}</definedName>
    <definedName name="wrn.sum1." hidden="1">{"Summary","1",FALSE,"Summary"}</definedName>
    <definedName name="wrn.Summary." hidden="1">{"page1",#N/A,FALSE,"DCM";"page3",#N/A,FALSE,"DCM"}</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hidden="1">{#N/A,#N/A,FALSE,"Inputs And Assumptions";#N/A,#N/A,FALSE,"Revenue Allocation";#N/A,#N/A,FALSE,"RSP Surch Allocations";#N/A,#N/A,FALSE,"Generation Calculations";#N/A,#N/A,FALSE,"Test Year 2001 Sales and Revs."}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7" i="7" l="1"/>
  <c r="H58" i="7"/>
  <c r="H59" i="7"/>
  <c r="H60" i="7"/>
  <c r="H56" i="7"/>
  <c r="G57" i="7"/>
  <c r="G58" i="7"/>
  <c r="G59" i="7"/>
  <c r="G60" i="7"/>
  <c r="F57" i="7"/>
  <c r="F58" i="7"/>
  <c r="F59" i="7"/>
  <c r="F60" i="7"/>
  <c r="G56" i="7"/>
  <c r="F56" i="7"/>
  <c r="E60" i="7" l="1"/>
  <c r="R34" i="7" l="1"/>
  <c r="R35" i="7"/>
  <c r="R36" i="7"/>
  <c r="R37" i="7"/>
  <c r="R33" i="7"/>
  <c r="Q34" i="7"/>
  <c r="Q35" i="7"/>
  <c r="Q36" i="7"/>
  <c r="Q37" i="7"/>
  <c r="Q33" i="7"/>
  <c r="O37" i="7"/>
  <c r="P37" i="7"/>
  <c r="P33" i="7"/>
  <c r="G28" i="7"/>
  <c r="O28" i="7"/>
  <c r="P28" i="7"/>
  <c r="Q25" i="7"/>
  <c r="Q26" i="7"/>
  <c r="Q27" i="7"/>
  <c r="Q28" i="7"/>
  <c r="R25" i="7"/>
  <c r="R26" i="7"/>
  <c r="R27" i="7"/>
  <c r="R28" i="7"/>
  <c r="R24" i="7"/>
  <c r="Q24" i="7"/>
  <c r="P19" i="7" l="1"/>
  <c r="D60" i="7" l="1"/>
  <c r="D59" i="7"/>
  <c r="D58" i="7"/>
  <c r="D57" i="7"/>
  <c r="D56" i="7"/>
  <c r="C65" i="7"/>
  <c r="H65" i="7"/>
  <c r="C66" i="7"/>
  <c r="H66" i="7"/>
  <c r="C67" i="7"/>
  <c r="H67" i="7"/>
  <c r="C68" i="7"/>
  <c r="H68" i="7"/>
  <c r="O16" i="7"/>
  <c r="I65" i="7" s="1"/>
  <c r="O17" i="7"/>
  <c r="I66" i="7" s="1"/>
  <c r="O18" i="7"/>
  <c r="I67" i="7" s="1"/>
  <c r="O19" i="7"/>
  <c r="I68" i="7" s="1"/>
  <c r="O15" i="7"/>
  <c r="I64" i="7" s="1"/>
  <c r="H64" i="7"/>
  <c r="C64" i="7"/>
  <c r="N37" i="7" l="1"/>
  <c r="N36" i="7"/>
  <c r="P36" i="7" s="1"/>
  <c r="N35" i="7"/>
  <c r="P35" i="7" s="1"/>
  <c r="N34" i="7"/>
  <c r="P34" i="7" s="1"/>
  <c r="N33" i="7"/>
  <c r="M37" i="7"/>
  <c r="M36" i="7"/>
  <c r="O36" i="7" s="1"/>
  <c r="M35" i="7"/>
  <c r="O35" i="7" s="1"/>
  <c r="M34" i="7"/>
  <c r="O34" i="7" s="1"/>
  <c r="M33" i="7"/>
  <c r="O33" i="7" s="1"/>
  <c r="G33" i="7" s="1"/>
  <c r="N16" i="7"/>
  <c r="N17" i="7"/>
  <c r="N18" i="7"/>
  <c r="N19" i="7"/>
  <c r="N15" i="7"/>
  <c r="M16" i="7"/>
  <c r="M17" i="7"/>
  <c r="M18" i="7"/>
  <c r="M19" i="7"/>
  <c r="M15" i="7"/>
  <c r="G37" i="7" l="1"/>
  <c r="G35" i="7"/>
  <c r="G34" i="7"/>
  <c r="G36" i="7"/>
  <c r="N25" i="7"/>
  <c r="P25" i="7" s="1"/>
  <c r="N26" i="7"/>
  <c r="P26" i="7" s="1"/>
  <c r="N27" i="7"/>
  <c r="P27" i="7" s="1"/>
  <c r="N28" i="7"/>
  <c r="N24" i="7"/>
  <c r="P24" i="7" s="1"/>
  <c r="M25" i="7"/>
  <c r="O25" i="7" s="1"/>
  <c r="M26" i="7"/>
  <c r="O26" i="7" s="1"/>
  <c r="M27" i="7"/>
  <c r="O27" i="7" s="1"/>
  <c r="M28" i="7"/>
  <c r="M24" i="7"/>
  <c r="O44" i="7"/>
  <c r="G25" i="7" l="1"/>
  <c r="G27" i="7"/>
  <c r="P18" i="7"/>
  <c r="G26" i="7"/>
  <c r="P17" i="7"/>
  <c r="O24" i="7"/>
  <c r="G24" i="7" s="1"/>
  <c r="P16" i="7"/>
  <c r="P15" i="7" l="1"/>
  <c r="O46" i="7"/>
  <c r="O48" i="7"/>
  <c r="O47" i="7"/>
  <c r="O45" i="7"/>
  <c r="D36" i="9" l="1"/>
  <c r="I36" i="9" s="1"/>
  <c r="D35" i="9"/>
  <c r="I35" i="9" s="1"/>
  <c r="D34" i="9"/>
  <c r="I34" i="9" s="1"/>
  <c r="D33" i="9"/>
  <c r="I33" i="9" s="1"/>
  <c r="D32" i="9"/>
  <c r="I32" i="9" s="1"/>
  <c r="D30" i="9"/>
  <c r="I30" i="9" s="1"/>
  <c r="D29" i="9"/>
  <c r="I29" i="9" s="1"/>
  <c r="D28" i="9"/>
  <c r="I28" i="9" s="1"/>
  <c r="D27" i="9"/>
  <c r="I27" i="9" s="1"/>
  <c r="D26" i="9"/>
  <c r="I26" i="9" s="1"/>
  <c r="J24" i="9"/>
  <c r="G24" i="9"/>
  <c r="F24" i="9"/>
  <c r="E24" i="9"/>
  <c r="J23" i="9"/>
  <c r="G23" i="9"/>
  <c r="E23" i="9"/>
  <c r="J22" i="9"/>
  <c r="G22" i="9"/>
  <c r="E22" i="9"/>
  <c r="J21" i="9"/>
  <c r="G21" i="9"/>
  <c r="E21" i="9"/>
  <c r="J20" i="9"/>
  <c r="G20" i="9"/>
  <c r="E20" i="9"/>
  <c r="J18" i="9"/>
  <c r="G18" i="9"/>
  <c r="F18" i="9"/>
  <c r="E18" i="9"/>
  <c r="J17" i="9"/>
  <c r="G17" i="9"/>
  <c r="E17" i="9"/>
  <c r="J16" i="9"/>
  <c r="G16" i="9"/>
  <c r="E16" i="9"/>
  <c r="J15" i="9"/>
  <c r="G15" i="9"/>
  <c r="E15" i="9"/>
  <c r="F36" i="9"/>
  <c r="F23" i="9"/>
  <c r="F16" i="9"/>
  <c r="F33" i="9"/>
  <c r="F32" i="9"/>
  <c r="J14" i="9"/>
  <c r="G14" i="9"/>
  <c r="E14" i="9"/>
  <c r="J36" i="9"/>
  <c r="J30" i="9"/>
  <c r="J35" i="9"/>
  <c r="J29" i="9"/>
  <c r="J34" i="9"/>
  <c r="J28" i="9"/>
  <c r="J33" i="9"/>
  <c r="J27" i="9"/>
  <c r="J32" i="9"/>
  <c r="J26" i="9"/>
  <c r="G36" i="9"/>
  <c r="E36" i="9"/>
  <c r="F30" i="9"/>
  <c r="G30" i="9"/>
  <c r="L30" i="9" s="1"/>
  <c r="E30" i="9"/>
  <c r="G35" i="9"/>
  <c r="E35" i="9"/>
  <c r="G29" i="9"/>
  <c r="E29" i="9"/>
  <c r="G34" i="9"/>
  <c r="E34" i="9"/>
  <c r="G28" i="9"/>
  <c r="E28" i="9"/>
  <c r="G33" i="9"/>
  <c r="E33" i="9"/>
  <c r="G27" i="9"/>
  <c r="E27" i="9"/>
  <c r="G32" i="9"/>
  <c r="E32" i="9"/>
  <c r="G26" i="9"/>
  <c r="E26" i="9"/>
  <c r="L32" i="9" l="1"/>
  <c r="L34" i="9"/>
  <c r="F17" i="9"/>
  <c r="K17" i="9" s="1"/>
  <c r="AO17" i="9" s="1"/>
  <c r="F20" i="9"/>
  <c r="K20" i="9" s="1"/>
  <c r="F35" i="9"/>
  <c r="K35" i="9" s="1"/>
  <c r="F29" i="9"/>
  <c r="K29" i="9" s="1"/>
  <c r="F15" i="9"/>
  <c r="K15" i="9" s="1"/>
  <c r="AG15" i="9" s="1"/>
  <c r="F22" i="9"/>
  <c r="K22" i="9" s="1"/>
  <c r="F28" i="9"/>
  <c r="K28" i="9" s="1"/>
  <c r="L33" i="9"/>
  <c r="F21" i="9"/>
  <c r="K21" i="9" s="1"/>
  <c r="L21" i="9"/>
  <c r="L36" i="9"/>
  <c r="L23" i="9"/>
  <c r="K24" i="9"/>
  <c r="L20" i="9"/>
  <c r="L24" i="9"/>
  <c r="K16" i="9"/>
  <c r="AK16" i="9" s="1"/>
  <c r="L22" i="9"/>
  <c r="K23" i="9"/>
  <c r="K18" i="9"/>
  <c r="AS18" i="9" s="1"/>
  <c r="L18" i="9"/>
  <c r="L17" i="9"/>
  <c r="L16" i="9"/>
  <c r="L15" i="9"/>
  <c r="K30" i="9"/>
  <c r="L26" i="9"/>
  <c r="L28" i="9"/>
  <c r="K33" i="9"/>
  <c r="L14" i="9"/>
  <c r="L27" i="9"/>
  <c r="L29" i="9"/>
  <c r="L35" i="9"/>
  <c r="K32" i="9"/>
  <c r="K36" i="9"/>
  <c r="F14" i="9"/>
  <c r="K14" i="9" s="1"/>
  <c r="F26" i="9"/>
  <c r="K26" i="9" s="1"/>
  <c r="F27" i="9"/>
  <c r="K27" i="9" s="1"/>
  <c r="F34" i="9"/>
  <c r="K34" i="9" s="1"/>
  <c r="Z15" i="9" l="1"/>
  <c r="AB15" i="9"/>
  <c r="AL21" i="9"/>
  <c r="AP21" i="9"/>
  <c r="AQ16" i="9"/>
  <c r="AS21" i="9"/>
  <c r="U15" i="9"/>
  <c r="AE21" i="9"/>
  <c r="X16" i="9"/>
  <c r="Z21" i="9"/>
  <c r="AC21" i="9"/>
  <c r="S21" i="9"/>
  <c r="S15" i="9"/>
  <c r="AO15" i="9"/>
  <c r="AH16" i="9"/>
  <c r="AB21" i="9"/>
  <c r="Y21" i="9"/>
  <c r="AA21" i="9"/>
  <c r="AM15" i="9"/>
  <c r="AD16" i="9"/>
  <c r="Y16" i="9"/>
  <c r="T21" i="9"/>
  <c r="AJ21" i="9"/>
  <c r="AG18" i="9"/>
  <c r="AM16" i="9"/>
  <c r="AH15" i="9"/>
  <c r="W15" i="9"/>
  <c r="AQ15" i="9"/>
  <c r="AJ15" i="9"/>
  <c r="Y15" i="9"/>
  <c r="AS15" i="9"/>
  <c r="AR16" i="9"/>
  <c r="AS16" i="9"/>
  <c r="V21" i="9"/>
  <c r="AO21" i="9"/>
  <c r="X21" i="9"/>
  <c r="R15" i="9"/>
  <c r="AL15" i="9"/>
  <c r="AA15" i="9"/>
  <c r="T15" i="9"/>
  <c r="AN15" i="9"/>
  <c r="AC15" i="9"/>
  <c r="V15" i="9"/>
  <c r="AP15" i="9"/>
  <c r="AI15" i="9"/>
  <c r="X15" i="9"/>
  <c r="AR15" i="9"/>
  <c r="AK15" i="9"/>
  <c r="AM21" i="9"/>
  <c r="AC17" i="9"/>
  <c r="AL16" i="9"/>
  <c r="AB16" i="9"/>
  <c r="AP16" i="9"/>
  <c r="AC16" i="9"/>
  <c r="AE18" i="9"/>
  <c r="AH21" i="9"/>
  <c r="R21" i="9"/>
  <c r="AI21" i="9"/>
  <c r="AK21" i="9"/>
  <c r="U21" i="9"/>
  <c r="P21" i="9"/>
  <c r="AR21" i="9"/>
  <c r="O21" i="9"/>
  <c r="AE16" i="9"/>
  <c r="AN16" i="9"/>
  <c r="AI16" i="9"/>
  <c r="AO16" i="9"/>
  <c r="P18" i="9"/>
  <c r="AD21" i="9"/>
  <c r="AN21" i="9"/>
  <c r="W21" i="9"/>
  <c r="AG21" i="9"/>
  <c r="Q21" i="9"/>
  <c r="AQ21" i="9"/>
  <c r="AF21" i="9"/>
  <c r="AS20" i="9"/>
  <c r="AO20" i="9"/>
  <c r="AK20" i="9"/>
  <c r="AG20" i="9"/>
  <c r="AC20" i="9"/>
  <c r="Y20" i="9"/>
  <c r="U20" i="9"/>
  <c r="Q20" i="9"/>
  <c r="AM20" i="9"/>
  <c r="AA20" i="9"/>
  <c r="AP20" i="9"/>
  <c r="AD20" i="9"/>
  <c r="AR20" i="9"/>
  <c r="AN20" i="9"/>
  <c r="AJ20" i="9"/>
  <c r="AF20" i="9"/>
  <c r="AB20" i="9"/>
  <c r="X20" i="9"/>
  <c r="T20" i="9"/>
  <c r="P20" i="9"/>
  <c r="AI20" i="9"/>
  <c r="W20" i="9"/>
  <c r="O20" i="9"/>
  <c r="AL20" i="9"/>
  <c r="Z20" i="9"/>
  <c r="R20" i="9"/>
  <c r="AQ20" i="9"/>
  <c r="AE20" i="9"/>
  <c r="S20" i="9"/>
  <c r="AH20" i="9"/>
  <c r="V20" i="9"/>
  <c r="AS17" i="9"/>
  <c r="AQ17" i="9"/>
  <c r="AR23" i="9"/>
  <c r="AN23" i="9"/>
  <c r="AJ23" i="9"/>
  <c r="AF23" i="9"/>
  <c r="AB23" i="9"/>
  <c r="X23" i="9"/>
  <c r="T23" i="9"/>
  <c r="P23" i="9"/>
  <c r="AP23" i="9"/>
  <c r="AH23" i="9"/>
  <c r="Z23" i="9"/>
  <c r="AK23" i="9"/>
  <c r="AC23" i="9"/>
  <c r="U23" i="9"/>
  <c r="AQ23" i="9"/>
  <c r="AM23" i="9"/>
  <c r="AI23" i="9"/>
  <c r="AE23" i="9"/>
  <c r="AA23" i="9"/>
  <c r="W23" i="9"/>
  <c r="S23" i="9"/>
  <c r="O23" i="9"/>
  <c r="AL23" i="9"/>
  <c r="AD23" i="9"/>
  <c r="R23" i="9"/>
  <c r="AO23" i="9"/>
  <c r="AG23" i="9"/>
  <c r="Q23" i="9"/>
  <c r="V23" i="9"/>
  <c r="AS23" i="9"/>
  <c r="Y23" i="9"/>
  <c r="T17" i="9"/>
  <c r="AQ22" i="9"/>
  <c r="AM22" i="9"/>
  <c r="AI22" i="9"/>
  <c r="AE22" i="9"/>
  <c r="AA22" i="9"/>
  <c r="W22" i="9"/>
  <c r="S22" i="9"/>
  <c r="O22" i="9"/>
  <c r="AS22" i="9"/>
  <c r="AK22" i="9"/>
  <c r="AC22" i="9"/>
  <c r="U22" i="9"/>
  <c r="AN22" i="9"/>
  <c r="AB22" i="9"/>
  <c r="P22" i="9"/>
  <c r="AP22" i="9"/>
  <c r="AL22" i="9"/>
  <c r="AH22" i="9"/>
  <c r="AD22" i="9"/>
  <c r="Z22" i="9"/>
  <c r="V22" i="9"/>
  <c r="R22" i="9"/>
  <c r="AO22" i="9"/>
  <c r="Y22" i="9"/>
  <c r="Q22" i="9"/>
  <c r="AJ22" i="9"/>
  <c r="X22" i="9"/>
  <c r="AG22" i="9"/>
  <c r="AR22" i="9"/>
  <c r="AF22" i="9"/>
  <c r="T22" i="9"/>
  <c r="AS24" i="9"/>
  <c r="AO24" i="9"/>
  <c r="AK24" i="9"/>
  <c r="AG24" i="9"/>
  <c r="AC24" i="9"/>
  <c r="Y24" i="9"/>
  <c r="U24" i="9"/>
  <c r="Q24" i="9"/>
  <c r="AI24" i="9"/>
  <c r="AA24" i="9"/>
  <c r="S24" i="9"/>
  <c r="AP24" i="9"/>
  <c r="AD24" i="9"/>
  <c r="R24" i="9"/>
  <c r="AR24" i="9"/>
  <c r="AN24" i="9"/>
  <c r="AJ24" i="9"/>
  <c r="AF24" i="9"/>
  <c r="AB24" i="9"/>
  <c r="X24" i="9"/>
  <c r="T24" i="9"/>
  <c r="P24" i="9"/>
  <c r="AM24" i="9"/>
  <c r="AE24" i="9"/>
  <c r="W24" i="9"/>
  <c r="O24" i="9"/>
  <c r="AL24" i="9"/>
  <c r="Z24" i="9"/>
  <c r="V24" i="9"/>
  <c r="AQ24" i="9"/>
  <c r="AH24" i="9"/>
  <c r="AP17" i="9"/>
  <c r="AJ17" i="9"/>
  <c r="AD18" i="9"/>
  <c r="AF18" i="9"/>
  <c r="AA17" i="9"/>
  <c r="AD17" i="9"/>
  <c r="O18" i="9"/>
  <c r="Q18" i="9"/>
  <c r="O17" i="9"/>
  <c r="AE17" i="9"/>
  <c r="Z17" i="9"/>
  <c r="X17" i="9"/>
  <c r="AN17" i="9"/>
  <c r="Q17" i="9"/>
  <c r="R18" i="9"/>
  <c r="S18" i="9"/>
  <c r="T18" i="9"/>
  <c r="U18" i="9"/>
  <c r="P16" i="9"/>
  <c r="O16" i="9"/>
  <c r="AG16" i="9"/>
  <c r="S17" i="9"/>
  <c r="AL17" i="9"/>
  <c r="AR17" i="9"/>
  <c r="AK17" i="9"/>
  <c r="AL18" i="9"/>
  <c r="AN18" i="9"/>
  <c r="AG17" i="9"/>
  <c r="AH18" i="9"/>
  <c r="AI18" i="9"/>
  <c r="AJ18" i="9"/>
  <c r="AK18" i="9"/>
  <c r="S16" i="9"/>
  <c r="AF16" i="9"/>
  <c r="R16" i="9"/>
  <c r="Q16" i="9"/>
  <c r="V17" i="9"/>
  <c r="AI17" i="9"/>
  <c r="AB17" i="9"/>
  <c r="U17" i="9"/>
  <c r="V18" i="9"/>
  <c r="W18" i="9"/>
  <c r="AM18" i="9"/>
  <c r="X18" i="9"/>
  <c r="Y18" i="9"/>
  <c r="AO18" i="9"/>
  <c r="AD15" i="9"/>
  <c r="O15" i="9"/>
  <c r="AE15" i="9"/>
  <c r="P15" i="9"/>
  <c r="AF15" i="9"/>
  <c r="Q15" i="9"/>
  <c r="V16" i="9"/>
  <c r="W16" i="9"/>
  <c r="T16" i="9"/>
  <c r="AJ16" i="9"/>
  <c r="Z16" i="9"/>
  <c r="AA16" i="9"/>
  <c r="U16" i="9"/>
  <c r="AH17" i="9"/>
  <c r="W17" i="9"/>
  <c r="AM17" i="9"/>
  <c r="P17" i="9"/>
  <c r="AF17" i="9"/>
  <c r="R17" i="9"/>
  <c r="Y17" i="9"/>
  <c r="Z18" i="9"/>
  <c r="AP18" i="9"/>
  <c r="AA18" i="9"/>
  <c r="AQ18" i="9"/>
  <c r="AB18" i="9"/>
  <c r="AR18" i="9"/>
  <c r="AC18" i="9"/>
  <c r="AR14" i="9"/>
  <c r="AN14" i="9"/>
  <c r="AJ14" i="9"/>
  <c r="AF14" i="9"/>
  <c r="AB14" i="9"/>
  <c r="X14" i="9"/>
  <c r="T14" i="9"/>
  <c r="P14" i="9"/>
  <c r="AG14" i="9"/>
  <c r="AQ14" i="9"/>
  <c r="AM14" i="9"/>
  <c r="AI14" i="9"/>
  <c r="AE14" i="9"/>
  <c r="AA14" i="9"/>
  <c r="W14" i="9"/>
  <c r="S14" i="9"/>
  <c r="O14" i="9"/>
  <c r="AK14" i="9"/>
  <c r="Y14" i="9"/>
  <c r="Q14" i="9"/>
  <c r="AP14" i="9"/>
  <c r="AL14" i="9"/>
  <c r="AH14" i="9"/>
  <c r="AD14" i="9"/>
  <c r="Z14" i="9"/>
  <c r="V14" i="9"/>
  <c r="R14" i="9"/>
  <c r="AS14" i="9"/>
  <c r="AO14" i="9"/>
  <c r="AC14" i="9"/>
  <c r="U14" i="9"/>
  <c r="M14" i="9" l="1"/>
  <c r="M17" i="9"/>
  <c r="M21" i="9"/>
  <c r="M15" i="9"/>
  <c r="M16" i="9"/>
  <c r="M23" i="9"/>
  <c r="M20" i="9"/>
  <c r="M22" i="9"/>
  <c r="M18" i="9"/>
  <c r="M24" i="9"/>
  <c r="H36" i="9"/>
  <c r="N60" i="7" s="1"/>
  <c r="H30" i="9"/>
  <c r="M60" i="7" s="1"/>
  <c r="H35" i="9"/>
  <c r="N59" i="7" s="1"/>
  <c r="H29" i="9"/>
  <c r="M59" i="7" s="1"/>
  <c r="H34" i="9"/>
  <c r="N58" i="7" s="1"/>
  <c r="H28" i="9"/>
  <c r="M58" i="7" s="1"/>
  <c r="C58" i="7" s="1"/>
  <c r="E58" i="7" s="1"/>
  <c r="H33" i="9"/>
  <c r="N57" i="7" s="1"/>
  <c r="H27" i="9"/>
  <c r="M57" i="7" s="1"/>
  <c r="H32" i="9"/>
  <c r="N56" i="7" s="1"/>
  <c r="H26" i="9"/>
  <c r="M56" i="7" s="1"/>
  <c r="C56" i="7" l="1"/>
  <c r="E56" i="7" s="1"/>
  <c r="C60" i="7"/>
  <c r="C57" i="7"/>
  <c r="C59" i="7"/>
  <c r="E59" i="7" s="1"/>
  <c r="AG36" i="9"/>
  <c r="AK36" i="9"/>
  <c r="AB36" i="9"/>
  <c r="AN36" i="9"/>
  <c r="AQ36" i="9"/>
  <c r="AL36" i="9"/>
  <c r="AC36" i="9"/>
  <c r="AH36" i="9"/>
  <c r="AR36" i="9"/>
  <c r="S36" i="9"/>
  <c r="Z36" i="9"/>
  <c r="R36" i="9"/>
  <c r="AO36" i="9"/>
  <c r="U36" i="9"/>
  <c r="T36" i="9"/>
  <c r="AP36" i="9"/>
  <c r="Q36" i="9"/>
  <c r="AM36" i="9"/>
  <c r="W36" i="9"/>
  <c r="Y36" i="9"/>
  <c r="X36" i="9"/>
  <c r="AJ36" i="9"/>
  <c r="AI36" i="9"/>
  <c r="V36" i="9"/>
  <c r="AA36" i="9"/>
  <c r="O36" i="9"/>
  <c r="AS36" i="9"/>
  <c r="AE36" i="9"/>
  <c r="AF36" i="9"/>
  <c r="AD36" i="9"/>
  <c r="P36" i="9"/>
  <c r="AO35" i="9"/>
  <c r="AF35" i="9"/>
  <c r="X35" i="9"/>
  <c r="AB35" i="9"/>
  <c r="S35" i="9"/>
  <c r="AD35" i="9"/>
  <c r="AQ35" i="9"/>
  <c r="R35" i="9"/>
  <c r="V35" i="9"/>
  <c r="AN35" i="9"/>
  <c r="AS35" i="9"/>
  <c r="AH35" i="9"/>
  <c r="AG35" i="9"/>
  <c r="Z35" i="9"/>
  <c r="Y35" i="9"/>
  <c r="AI35" i="9"/>
  <c r="AJ35" i="9"/>
  <c r="W35" i="9"/>
  <c r="O35" i="9"/>
  <c r="AR35" i="9"/>
  <c r="P35" i="9"/>
  <c r="AM35" i="9"/>
  <c r="Q35" i="9"/>
  <c r="AK35" i="9"/>
  <c r="AA35" i="9"/>
  <c r="U35" i="9"/>
  <c r="AC35" i="9"/>
  <c r="AL35" i="9"/>
  <c r="AE35" i="9"/>
  <c r="T35" i="9"/>
  <c r="AP35" i="9"/>
  <c r="X34" i="9"/>
  <c r="AD34" i="9"/>
  <c r="Q34" i="9"/>
  <c r="O34" i="9"/>
  <c r="AK34" i="9"/>
  <c r="AS34" i="9"/>
  <c r="AB34" i="9"/>
  <c r="Z34" i="9"/>
  <c r="AG34" i="9"/>
  <c r="S34" i="9"/>
  <c r="AL34" i="9"/>
  <c r="AQ34" i="9"/>
  <c r="AJ34" i="9"/>
  <c r="AI34" i="9"/>
  <c r="AH34" i="9"/>
  <c r="U34" i="9"/>
  <c r="R34" i="9"/>
  <c r="P34" i="9"/>
  <c r="AM34" i="9"/>
  <c r="AA34" i="9"/>
  <c r="AR34" i="9"/>
  <c r="AO34" i="9"/>
  <c r="AP34" i="9"/>
  <c r="V34" i="9"/>
  <c r="Y34" i="9"/>
  <c r="AC34" i="9"/>
  <c r="T34" i="9"/>
  <c r="AN34" i="9"/>
  <c r="W34" i="9"/>
  <c r="AF34" i="9"/>
  <c r="AE34" i="9"/>
  <c r="AB33" i="9"/>
  <c r="S33" i="9"/>
  <c r="AM33" i="9"/>
  <c r="Q33" i="9"/>
  <c r="X33" i="9"/>
  <c r="AH33" i="9"/>
  <c r="AF33" i="9"/>
  <c r="AN33" i="9"/>
  <c r="U33" i="9"/>
  <c r="T33" i="9"/>
  <c r="AA33" i="9"/>
  <c r="AL33" i="9"/>
  <c r="P33" i="9"/>
  <c r="AQ33" i="9"/>
  <c r="AR33" i="9"/>
  <c r="AO33" i="9"/>
  <c r="Y33" i="9"/>
  <c r="AP33" i="9"/>
  <c r="V33" i="9"/>
  <c r="AG33" i="9"/>
  <c r="O33" i="9"/>
  <c r="AC33" i="9"/>
  <c r="AD33" i="9"/>
  <c r="R33" i="9"/>
  <c r="AE33" i="9"/>
  <c r="AS33" i="9"/>
  <c r="Z33" i="9"/>
  <c r="AK33" i="9"/>
  <c r="W33" i="9"/>
  <c r="AI33" i="9"/>
  <c r="AJ33" i="9"/>
  <c r="R32" i="9"/>
  <c r="AM32" i="9"/>
  <c r="V32" i="9"/>
  <c r="AQ32" i="9"/>
  <c r="O32" i="9"/>
  <c r="AR32" i="9"/>
  <c r="AD32" i="9"/>
  <c r="P32" i="9"/>
  <c r="Z32" i="9"/>
  <c r="W32" i="9"/>
  <c r="AP32" i="9"/>
  <c r="AH32" i="9"/>
  <c r="T32" i="9"/>
  <c r="AL32" i="9"/>
  <c r="X32" i="9"/>
  <c r="AO32" i="9"/>
  <c r="AE32" i="9"/>
  <c r="Q32" i="9"/>
  <c r="AF32" i="9"/>
  <c r="Y32" i="9"/>
  <c r="AJ32" i="9"/>
  <c r="AK32" i="9"/>
  <c r="AN32" i="9"/>
  <c r="AG32" i="9"/>
  <c r="S32" i="9"/>
  <c r="U32" i="9"/>
  <c r="AC32" i="9"/>
  <c r="AA32" i="9"/>
  <c r="AB32" i="9"/>
  <c r="AS32" i="9"/>
  <c r="AI32" i="9"/>
  <c r="AF30" i="9"/>
  <c r="AB30" i="9"/>
  <c r="AJ30" i="9"/>
  <c r="AL30" i="9"/>
  <c r="U30" i="9"/>
  <c r="Y30" i="9"/>
  <c r="AS30" i="9"/>
  <c r="AA30" i="9"/>
  <c r="V30" i="9"/>
  <c r="AH30" i="9"/>
  <c r="AN30" i="9"/>
  <c r="W30" i="9"/>
  <c r="AR30" i="9"/>
  <c r="X30" i="9"/>
  <c r="Z30" i="9"/>
  <c r="AM30" i="9"/>
  <c r="AO30" i="9"/>
  <c r="AG30" i="9"/>
  <c r="AP30" i="9"/>
  <c r="AK30" i="9"/>
  <c r="Q30" i="9"/>
  <c r="R30" i="9"/>
  <c r="O30" i="9"/>
  <c r="AQ30" i="9"/>
  <c r="P30" i="9"/>
  <c r="AC30" i="9"/>
  <c r="T30" i="9"/>
  <c r="AE30" i="9"/>
  <c r="S30" i="9"/>
  <c r="AD30" i="9"/>
  <c r="AI30" i="9"/>
  <c r="AR29" i="9"/>
  <c r="AM29" i="9"/>
  <c r="Q29" i="9"/>
  <c r="R29" i="9"/>
  <c r="AN29" i="9"/>
  <c r="AS29" i="9"/>
  <c r="AH29" i="9"/>
  <c r="Z29" i="9"/>
  <c r="AJ29" i="9"/>
  <c r="AF29" i="9"/>
  <c r="U29" i="9"/>
  <c r="X29" i="9"/>
  <c r="AC29" i="9"/>
  <c r="AI29" i="9"/>
  <c r="S29" i="9"/>
  <c r="AD29" i="9"/>
  <c r="AQ29" i="9"/>
  <c r="W29" i="9"/>
  <c r="AA29" i="9"/>
  <c r="AE29" i="9"/>
  <c r="T29" i="9"/>
  <c r="AK29" i="9"/>
  <c r="O29" i="9"/>
  <c r="AG29" i="9"/>
  <c r="AB29" i="9"/>
  <c r="AL29" i="9"/>
  <c r="Y29" i="9"/>
  <c r="P29" i="9"/>
  <c r="V29" i="9"/>
  <c r="AP29" i="9"/>
  <c r="AO29" i="9"/>
  <c r="AH28" i="9"/>
  <c r="X28" i="9"/>
  <c r="AI28" i="9"/>
  <c r="U28" i="9"/>
  <c r="Z28" i="9"/>
  <c r="S28" i="9"/>
  <c r="AO28" i="9"/>
  <c r="AB28" i="9"/>
  <c r="AQ28" i="9"/>
  <c r="O28" i="9"/>
  <c r="AS28" i="9"/>
  <c r="AK28" i="9"/>
  <c r="T28" i="9"/>
  <c r="P28" i="9"/>
  <c r="AP28" i="9"/>
  <c r="AA28" i="9"/>
  <c r="AF28" i="9"/>
  <c r="V28" i="9"/>
  <c r="AG28" i="9"/>
  <c r="Y28" i="9"/>
  <c r="Q28" i="9"/>
  <c r="AE28" i="9"/>
  <c r="AL28" i="9"/>
  <c r="AD28" i="9"/>
  <c r="AJ28" i="9"/>
  <c r="R28" i="9"/>
  <c r="AM28" i="9"/>
  <c r="AR28" i="9"/>
  <c r="AC28" i="9"/>
  <c r="AN28" i="9"/>
  <c r="W28" i="9"/>
  <c r="AM27" i="9"/>
  <c r="AB27" i="9"/>
  <c r="Z27" i="9"/>
  <c r="AH27" i="9"/>
  <c r="AI27" i="9"/>
  <c r="R27" i="9"/>
  <c r="AP27" i="9"/>
  <c r="AG27" i="9"/>
  <c r="AA27" i="9"/>
  <c r="S27" i="9"/>
  <c r="O27" i="9"/>
  <c r="U27" i="9"/>
  <c r="Y27" i="9"/>
  <c r="AE27" i="9"/>
  <c r="AS27" i="9"/>
  <c r="AO27" i="9"/>
  <c r="Q27" i="9"/>
  <c r="X27" i="9"/>
  <c r="AL27" i="9"/>
  <c r="AD27" i="9"/>
  <c r="AJ27" i="9"/>
  <c r="W27" i="9"/>
  <c r="AC27" i="9"/>
  <c r="AK27" i="9"/>
  <c r="AQ27" i="9"/>
  <c r="AR27" i="9"/>
  <c r="AF27" i="9"/>
  <c r="AN27" i="9"/>
  <c r="P27" i="9"/>
  <c r="T27" i="9"/>
  <c r="V27" i="9"/>
  <c r="U26" i="9"/>
  <c r="AH26" i="9"/>
  <c r="W26" i="9"/>
  <c r="T26" i="9"/>
  <c r="V26" i="9"/>
  <c r="AK26" i="9"/>
  <c r="AQ26" i="9"/>
  <c r="AN26" i="9"/>
  <c r="O26" i="9"/>
  <c r="AG26" i="9"/>
  <c r="S26" i="9"/>
  <c r="P26" i="9"/>
  <c r="Y26" i="9"/>
  <c r="AP26" i="9"/>
  <c r="AB26" i="9"/>
  <c r="AF26" i="9"/>
  <c r="Z26" i="9"/>
  <c r="AR26" i="9"/>
  <c r="R26" i="9"/>
  <c r="AM26" i="9"/>
  <c r="AJ26" i="9"/>
  <c r="AC26" i="9"/>
  <c r="AL26" i="9"/>
  <c r="AA26" i="9"/>
  <c r="X26" i="9"/>
  <c r="AO26" i="9"/>
  <c r="AE26" i="9"/>
  <c r="AS26" i="9"/>
  <c r="Q26" i="9"/>
  <c r="AI26" i="9"/>
  <c r="AD26" i="9"/>
  <c r="F45" i="4"/>
  <c r="F27" i="4" s="1"/>
  <c r="E45" i="4"/>
  <c r="E27" i="4" s="1"/>
  <c r="D45" i="4"/>
  <c r="D27" i="4" s="1"/>
  <c r="E57" i="7" l="1"/>
  <c r="I44" i="7" a="1"/>
  <c r="I44" i="7" s="1"/>
  <c r="I45" i="7" a="1"/>
  <c r="I45" i="7" s="1"/>
  <c r="I46" i="7" a="1"/>
  <c r="I46" i="7" s="1"/>
  <c r="I48" i="7" a="1"/>
  <c r="I48" i="7" s="1"/>
  <c r="J45" i="7"/>
  <c r="J46" i="7"/>
  <c r="J47" i="7"/>
  <c r="J48" i="7"/>
  <c r="I47" i="7" a="1"/>
  <c r="I47" i="7" s="1"/>
  <c r="J44" i="7"/>
  <c r="M36" i="9"/>
  <c r="N48" i="7" s="1"/>
  <c r="M35" i="9"/>
  <c r="N47" i="7" s="1"/>
  <c r="M34" i="9"/>
  <c r="N46" i="7" s="1"/>
  <c r="M33" i="9"/>
  <c r="N45" i="7" s="1"/>
  <c r="M32" i="9"/>
  <c r="N44" i="7" s="1"/>
  <c r="M30" i="9"/>
  <c r="M48" i="7" s="1"/>
  <c r="M29" i="9"/>
  <c r="M47" i="7" s="1"/>
  <c r="M28" i="9"/>
  <c r="M46" i="7" s="1"/>
  <c r="M27" i="9"/>
  <c r="M45" i="7" s="1"/>
  <c r="M26" i="9"/>
  <c r="M44" i="7" s="1"/>
  <c r="D28" i="4"/>
  <c r="D9" i="3" s="1"/>
  <c r="D10" i="4"/>
  <c r="D15" i="4" s="1"/>
  <c r="D7" i="4"/>
  <c r="D13" i="3"/>
  <c r="G6" i="3"/>
  <c r="P17" i="3" s="1"/>
  <c r="F6" i="3"/>
  <c r="L17" i="3" s="1"/>
  <c r="E6" i="3"/>
  <c r="H17" i="3" s="1"/>
  <c r="D6" i="3"/>
  <c r="D17" i="3" s="1"/>
  <c r="P16" i="3"/>
  <c r="L16" i="3"/>
  <c r="M16" i="3" s="1"/>
  <c r="N16" i="3" s="1"/>
  <c r="O16" i="3" s="1"/>
  <c r="H16" i="3"/>
  <c r="I16" i="3" s="1"/>
  <c r="J16" i="3" s="1"/>
  <c r="K16" i="3" s="1"/>
  <c r="D16" i="3"/>
  <c r="D16" i="4" l="1"/>
  <c r="D10" i="3" s="1"/>
  <c r="D11" i="3" s="1"/>
  <c r="AE18" i="3" s="1"/>
  <c r="AF18" i="3" s="1"/>
  <c r="AG18" i="3" s="1"/>
  <c r="E16" i="3"/>
  <c r="F16" i="3" s="1"/>
  <c r="G16" i="3" s="1"/>
  <c r="P18" i="3"/>
  <c r="Q18" i="3" s="1"/>
  <c r="E17" i="3"/>
  <c r="F17" i="3" s="1"/>
  <c r="G17" i="3" s="1"/>
  <c r="D18" i="3"/>
  <c r="M17" i="3"/>
  <c r="N17" i="3" s="1"/>
  <c r="O17" i="3" s="1"/>
  <c r="L18" i="3"/>
  <c r="H18" i="3"/>
  <c r="I17" i="3"/>
  <c r="J17" i="3" s="1"/>
  <c r="K17" i="3" s="1"/>
  <c r="AE20" i="3"/>
  <c r="AF20" i="3" l="1"/>
  <c r="P20" i="3"/>
  <c r="AH18" i="3"/>
  <c r="AG20" i="3"/>
  <c r="M18" i="3"/>
  <c r="N18" i="3" s="1"/>
  <c r="O18" i="3" s="1"/>
  <c r="L20" i="3"/>
  <c r="I18" i="3"/>
  <c r="J18" i="3" s="1"/>
  <c r="K18" i="3" s="1"/>
  <c r="H20" i="3"/>
  <c r="D20" i="3"/>
  <c r="E18" i="3"/>
  <c r="R18" i="3"/>
  <c r="Q20" i="3"/>
  <c r="F18" i="3" l="1"/>
  <c r="G18" i="3" s="1"/>
  <c r="M20" i="3"/>
  <c r="N20" i="3" s="1"/>
  <c r="O20" i="3" s="1"/>
  <c r="I20" i="3"/>
  <c r="J20" i="3" s="1"/>
  <c r="K20" i="3" s="1"/>
  <c r="E20" i="3"/>
  <c r="S18" i="3"/>
  <c r="R20" i="3"/>
  <c r="AI18" i="3"/>
  <c r="AI20" i="3" s="1"/>
  <c r="AH20" i="3"/>
  <c r="F20" i="3" l="1"/>
  <c r="G20" i="3" s="1"/>
  <c r="S20" i="3"/>
  <c r="T18" i="3"/>
  <c r="U18" i="3" l="1"/>
  <c r="T20" i="3"/>
  <c r="V18" i="3" l="1"/>
  <c r="U20" i="3"/>
  <c r="W18" i="3" l="1"/>
  <c r="V20" i="3"/>
  <c r="X18" i="3" l="1"/>
  <c r="W20" i="3"/>
  <c r="Y18" i="3" l="1"/>
  <c r="X20" i="3"/>
  <c r="Z18" i="3" l="1"/>
  <c r="Y20" i="3"/>
  <c r="AA18" i="3" l="1"/>
  <c r="Z20" i="3"/>
  <c r="AA20" i="3" l="1"/>
  <c r="AB18" i="3"/>
  <c r="AB20" i="3" l="1"/>
  <c r="AC18" i="3"/>
  <c r="AD18" i="3" l="1"/>
  <c r="C6" i="1" s="1" a="1"/>
  <c r="AC20" i="3"/>
  <c r="C8" i="1" l="1"/>
  <c r="E8" i="1" s="1"/>
  <c r="C15" i="1"/>
  <c r="E15" i="1" s="1"/>
  <c r="C11" i="1"/>
  <c r="E11" i="1" s="1"/>
  <c r="C21" i="1"/>
  <c r="E21" i="1" s="1"/>
  <c r="C17" i="1"/>
  <c r="E17" i="1" s="1"/>
  <c r="C12" i="1"/>
  <c r="E12" i="1" s="1"/>
  <c r="C23" i="1"/>
  <c r="E23" i="1" s="1"/>
  <c r="C13" i="1"/>
  <c r="E13" i="1" s="1"/>
  <c r="C9" i="1"/>
  <c r="E9" i="1" s="1"/>
  <c r="C36" i="1"/>
  <c r="E36" i="1" s="1"/>
  <c r="C7" i="1"/>
  <c r="E7" i="1" s="1"/>
  <c r="C34" i="1"/>
  <c r="E34" i="1" s="1"/>
  <c r="C31" i="1"/>
  <c r="E31" i="1" s="1"/>
  <c r="C28" i="1"/>
  <c r="E28" i="1" s="1"/>
  <c r="C30" i="1"/>
  <c r="E30" i="1" s="1"/>
  <c r="C26" i="1"/>
  <c r="E26" i="1" s="1"/>
  <c r="C32" i="1"/>
  <c r="E32" i="1" s="1"/>
  <c r="C20" i="1"/>
  <c r="E20" i="1" s="1"/>
  <c r="C22" i="1"/>
  <c r="E22" i="1" s="1"/>
  <c r="C18" i="1"/>
  <c r="E18" i="1" s="1"/>
  <c r="C24" i="1"/>
  <c r="E24" i="1" s="1"/>
  <c r="C35" i="1"/>
  <c r="E35" i="1" s="1"/>
  <c r="C14" i="1"/>
  <c r="E14" i="1" s="1"/>
  <c r="C10" i="1"/>
  <c r="E10" i="1" s="1"/>
  <c r="C16" i="1"/>
  <c r="E16" i="1" s="1"/>
  <c r="C27" i="1"/>
  <c r="E27" i="1" s="1"/>
  <c r="C6" i="1"/>
  <c r="E6" i="1" s="1"/>
  <c r="C33" i="1"/>
  <c r="E33" i="1" s="1"/>
  <c r="C19" i="1"/>
  <c r="E19" i="1" s="1"/>
  <c r="C29" i="1"/>
  <c r="E29" i="1" s="1"/>
  <c r="C25" i="1"/>
  <c r="E25" i="1" s="1"/>
  <c r="AD20" i="3"/>
  <c r="D6" i="1" s="1" a="1"/>
  <c r="E45" i="7" l="1" a="1"/>
  <c r="E45" i="7" s="1"/>
  <c r="R45" i="7" s="1"/>
  <c r="F45" i="7" s="1"/>
  <c r="E46" i="7" a="1"/>
  <c r="E46" i="7" s="1"/>
  <c r="R46" i="7" s="1"/>
  <c r="F46" i="7" s="1"/>
  <c r="E48" i="7" a="1"/>
  <c r="E48" i="7" s="1"/>
  <c r="R48" i="7" s="1"/>
  <c r="F48" i="7" s="1"/>
  <c r="E47" i="7" a="1"/>
  <c r="E47" i="7" s="1"/>
  <c r="R47" i="7" s="1"/>
  <c r="F47" i="7" s="1"/>
  <c r="E44" i="7" a="1"/>
  <c r="E44" i="7" s="1"/>
  <c r="R44" i="7" s="1"/>
  <c r="F44" i="7" s="1"/>
  <c r="D36" i="1"/>
  <c r="D32" i="1"/>
  <c r="D28" i="1"/>
  <c r="D24" i="1"/>
  <c r="D20" i="1"/>
  <c r="D16" i="1"/>
  <c r="D12" i="1"/>
  <c r="D8" i="1"/>
  <c r="D35" i="1"/>
  <c r="D31" i="1"/>
  <c r="D27" i="1"/>
  <c r="D23" i="1"/>
  <c r="D19" i="1"/>
  <c r="D15" i="1"/>
  <c r="D11" i="1"/>
  <c r="D7" i="1"/>
  <c r="D34" i="1"/>
  <c r="D30" i="1"/>
  <c r="D26" i="1"/>
  <c r="D22" i="1"/>
  <c r="D18" i="1"/>
  <c r="D14" i="1"/>
  <c r="D10" i="1"/>
  <c r="D6" i="1"/>
  <c r="D33" i="1"/>
  <c r="D29" i="1"/>
  <c r="D25" i="1"/>
  <c r="D21" i="1"/>
  <c r="D17" i="1"/>
  <c r="D13" i="1"/>
  <c r="D9" i="1"/>
  <c r="C47" i="7" l="1" a="1"/>
  <c r="C47" i="7" s="1"/>
  <c r="C48" i="7" a="1"/>
  <c r="C48" i="7" s="1"/>
  <c r="C44" i="7" a="1"/>
  <c r="C44" i="7" s="1"/>
  <c r="C45" i="7" a="1"/>
  <c r="C45" i="7" s="1"/>
  <c r="C46" i="7" a="1"/>
  <c r="C46" i="7" s="1"/>
  <c r="Q46" i="7" l="1"/>
  <c r="P46" i="7"/>
  <c r="Q45" i="7"/>
  <c r="P45" i="7"/>
  <c r="Q44" i="7"/>
  <c r="P44" i="7"/>
  <c r="Q48" i="7"/>
  <c r="P48" i="7"/>
  <c r="Q47" i="7"/>
  <c r="P47" i="7"/>
  <c r="D48" i="7" l="1"/>
  <c r="S48" i="7"/>
  <c r="D44" i="7"/>
  <c r="S44" i="7"/>
  <c r="D47" i="7"/>
  <c r="S47" i="7"/>
  <c r="D45" i="7"/>
  <c r="S45" i="7"/>
  <c r="D46" i="7"/>
  <c r="S46" i="7"/>
  <c r="E65" i="7" l="1"/>
  <c r="D65" i="7"/>
  <c r="F65" i="7"/>
  <c r="G45" i="7"/>
  <c r="G65" i="7"/>
  <c r="E64" i="7"/>
  <c r="G64" i="7"/>
  <c r="D64" i="7"/>
  <c r="G44" i="7"/>
  <c r="F64" i="7"/>
  <c r="G46" i="7"/>
  <c r="F66" i="7"/>
  <c r="G66" i="7"/>
  <c r="E66" i="7"/>
  <c r="D66" i="7"/>
  <c r="G47" i="7"/>
  <c r="F67" i="7"/>
  <c r="G67" i="7"/>
  <c r="D67" i="7"/>
  <c r="E67" i="7"/>
  <c r="G48" i="7"/>
  <c r="D68" i="7"/>
  <c r="G68" i="7"/>
  <c r="E68" i="7"/>
  <c r="F6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tc={5B222C9B-1A4C-468A-9C5A-1FCC02116393}</author>
  </authors>
  <commentList>
    <comment ref="M19" authorId="0" shapeId="0" xr:uid="{5B222C9B-1A4C-468A-9C5A-1FCC02116393}">
      <text>
        <t xml:space="preserve">[Threaded comment]
Your version of Excel allows you to read this threaded comment; however, any edits to it will get removed if the file is opened in a newer version of Excel. Learn more: https://go.microsoft.com/fwlink/?linkid=870924
Comment:
    Under section 1, don’t capitalize usage (i thought it was an acronym before realizing that was silly). Can we also be more specific about whats meant by that. Something like, the full energy utilization of the measure and the full energy utilization of the baseline. I also think anyone proposing workpapers should know what the energy usage of both the base and the measure are, rather than just a savings value. It doesn’t seem like this has been enforced as a workpaper policy, but I agree with Peter that we shouldn’t be approving workpapers without it going forward.
“For gas, impacts require...” this sentence is a little awkward and could use more explanation.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tc={9E1E232F-23AF-4D59-9B87-F3627B8EFD1B}</author>
  </authors>
  <commentList>
    <comment ref="J11" authorId="0" shapeId="0" xr:uid="{9E1E232F-23AF-4D59-9B87-F3627B8EFD1B}">
      <text>
        <t xml:space="preserve">[Threaded comment]
Your version of Excel allows you to read this threaded comment; however, any edits to it will get removed if the file is opened in a newer version of Excel. Learn more: https://go.microsoft.com/fwlink/?linkid=870924
Comment:
    Can we make it clearer what to fill out for normal replacement and what to fill out for AR?
Reply:
    This looks good, otherwise.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tc={419FFEA1-61B9-4FFD-BEAC-AA9EDD8C3658}</author>
  </authors>
  <commentList>
    <comment ref="P14" authorId="0" shapeId="0" xr:uid="{419FFEA1-61B9-4FFD-BEAC-AA9EDD8C3658}">
      <text>
        <t xml:space="preserve">[Threaded comment]
Your version of Excel allows you to read this threaded comment; however, any edits to it will get removed if the file is opened in a newer version of Excel. Learn more: https://go.microsoft.com/fwlink/?linkid=870924
Comment:
    I think there needs to be more explanation of what users do with this tab and how it flows into the calculations. I get that its for the annual factors, but that doesnt feel evident from whats said.
Do users need to alter this in anyway, or does it happen automatically? If its automatic, maybe we can do something to communicate that these values shouldnt be changed.
</t>
      </text>
    </comment>
  </commentList>
</comments>
</file>

<file path=xl/sharedStrings.xml><?xml version="1.0" encoding="utf-8"?>
<sst xmlns="http://schemas.openxmlformats.org/spreadsheetml/2006/main" count="259" uniqueCount="184">
  <si>
    <t xml:space="preserve">Fuel Substitution Calculator
</t>
  </si>
  <si>
    <t>Change log (recent changes first)</t>
  </si>
  <si>
    <t>Date</t>
  </si>
  <si>
    <t>Description of changes</t>
  </si>
  <si>
    <t>1. Added Reduced Goals of the Original Fuel in Section 3. 
2.For information only, in Section 2, the CO2 emissions were split between electricty and natural gas. This will not impact the Lifecycle emissions savings Metric tCO2</t>
  </si>
  <si>
    <t>1. Clarify instructive language in Introduction, Fuel Sub Calcs, and Time series tables tabs.
2. Remove fields to input savings for first and second baseline.</t>
  </si>
  <si>
    <t>1. Add this revision log sheet
2. Describe methodology supported by calculator
3. Update examples, etc.</t>
  </si>
  <si>
    <t>1. In section 2, updated formula for emissions intensity to refer to metric tons per kWh instead of short tons per kWh.
2. In section 3, clarified “savings claims toward goals” with columns for both kWh and therms.
3. In section 3, also added a box of copy/paste inputs to CET.
4. Some other related formatting and hidden formula updates.</t>
  </si>
  <si>
    <t>Initial draft version</t>
  </si>
  <si>
    <t>Cell color code</t>
  </si>
  <si>
    <t>These columns are reserved for hidden calculations.</t>
  </si>
  <si>
    <t>Headings</t>
  </si>
  <si>
    <t>Input cell</t>
  </si>
  <si>
    <t>Requires attention</t>
  </si>
  <si>
    <t>Ignored based on current inputs</t>
  </si>
  <si>
    <t>Calculated cell</t>
  </si>
  <si>
    <t>Section 1. EE Workpaper/Custom Measure Inputs</t>
  </si>
  <si>
    <t>Fill out this block for all measures (including Normal Replacement and Accelerated Replacement)</t>
  </si>
  <si>
    <t>Index</t>
  </si>
  <si>
    <t>Measure Description</t>
  </si>
  <si>
    <t>Quantity (# units)</t>
  </si>
  <si>
    <t>EUL (years)</t>
  </si>
  <si>
    <t>Install Year</t>
  </si>
  <si>
    <t>Original fuel</t>
  </si>
  <si>
    <t>New fuel</t>
  </si>
  <si>
    <t>Skip AR?</t>
  </si>
  <si>
    <t>1st Baseline period years</t>
  </si>
  <si>
    <t>RUL yrs</t>
  </si>
  <si>
    <t>Measure defined?</t>
  </si>
  <si>
    <t>Commercial packaged Heat Pump 12 EER</t>
  </si>
  <si>
    <t>natural gas + electricity</t>
  </si>
  <si>
    <t>electricity</t>
  </si>
  <si>
    <t>Residential split Heat Pump 15 SEER; 8.7 HSPF</t>
  </si>
  <si>
    <t>Residential 50 Gallons Heat Pump Domestic Water Heater</t>
  </si>
  <si>
    <t>natural gas</t>
  </si>
  <si>
    <t>Commercial Steam Cooker (Electric)</t>
  </si>
  <si>
    <t>Annual usage of "first" baseline technology</t>
  </si>
  <si>
    <t>Annual usage of measure technology</t>
  </si>
  <si>
    <t>Annual electric usage
(kWh)</t>
  </si>
  <si>
    <t>Annual fuel usage
(Therms)</t>
  </si>
  <si>
    <t>Have 1BL Usage kWh?</t>
  </si>
  <si>
    <t>Have 1BL
Usage Therms?</t>
  </si>
  <si>
    <t>Null usage and
null savings?</t>
  </si>
  <si>
    <t>kWh Savings (1 BL)</t>
  </si>
  <si>
    <t>Therm Savings (1 BL)</t>
  </si>
  <si>
    <t>Fill out this block for measures with Install Type = [AR], requiring Dual Baseline.</t>
  </si>
  <si>
    <t>Annual usage of "second" baseline technology</t>
  </si>
  <si>
    <t>Measure Application Type</t>
  </si>
  <si>
    <t>RUL of existing
equipment (years)</t>
  </si>
  <si>
    <t>Annual electric usage of
the code baseline (kWh)</t>
  </si>
  <si>
    <t>Annual gas usage of the
code baseline (Therms)</t>
  </si>
  <si>
    <t>NR</t>
  </si>
  <si>
    <t>Section 2. Fuel Substitution Test Part 1 and Part 2</t>
  </si>
  <si>
    <t>Part 1: Lifecycle Savings of Primary Energy</t>
  </si>
  <si>
    <t>Part 2: Lifecycle savings of CO2e emissions</t>
  </si>
  <si>
    <t>Conclusion of Fuel Substitution Test</t>
  </si>
  <si>
    <t>Electric</t>
  </si>
  <si>
    <t>Gas</t>
  </si>
  <si>
    <t>Lifecycle Primary Energy Savings
(MMBTU at generation source)</t>
  </si>
  <si>
    <t>Test Pass/Fail</t>
  </si>
  <si>
    <t>Lifecycle emissions savings
Metric tCO2</t>
  </si>
  <si>
    <t>Lifecycle emissions savings (Metric tCO2)</t>
  </si>
  <si>
    <t>kWh Lifecycle
Savings</t>
  </si>
  <si>
    <t>Therm Savings</t>
  </si>
  <si>
    <t>Original Fuel Units</t>
  </si>
  <si>
    <t>Full Measure Savings (original fuel)</t>
  </si>
  <si>
    <t>Test1 Pass?</t>
  </si>
  <si>
    <t>Test2 Pass?</t>
  </si>
  <si>
    <t>Eligible?</t>
  </si>
  <si>
    <t>Section 3. EE Program Reporting for Savings Claims towards Program Goals</t>
  </si>
  <si>
    <t>The following refer to (first year) annual energy savings.</t>
  </si>
  <si>
    <t>Full Energy Savings
(MMBTU equivalent)</t>
  </si>
  <si>
    <t>New Fuel Units</t>
  </si>
  <si>
    <t>Full Energy Savings
Claimed - kWh</t>
  </si>
  <si>
    <t>Full Energy Savings
Claimed - Therms</t>
  </si>
  <si>
    <t>Reduced Goals for Original Fuel - kWh</t>
  </si>
  <si>
    <t>Reduced Goals for Original Fuel  - Therm</t>
  </si>
  <si>
    <t>kWh savings</t>
  </si>
  <si>
    <t>Therm savings</t>
  </si>
  <si>
    <t>Values to input into Cost-Effectiveness Tool</t>
  </si>
  <si>
    <t xml:space="preserve">Index
</t>
  </si>
  <si>
    <t>NumUnits</t>
  </si>
  <si>
    <t>UnitkWh1stBaseline</t>
  </si>
  <si>
    <t>UnitTherm1stBaseline</t>
  </si>
  <si>
    <t>UnitkWh2ndBaseline</t>
  </si>
  <si>
    <t>UnitTherm2ndBaseline</t>
  </si>
  <si>
    <t>EUL_Yrs</t>
  </si>
  <si>
    <t>RUL_Yrs</t>
  </si>
  <si>
    <t>dropdown_MAT</t>
  </si>
  <si>
    <t>dropdown_Fuel</t>
  </si>
  <si>
    <t>lookup_fuel_units</t>
  </si>
  <si>
    <t>therms</t>
  </si>
  <si>
    <t>AR</t>
  </si>
  <si>
    <t>kWh</t>
  </si>
  <si>
    <t>There are no user inputs on this sheet. Use "Protect Sheet" to prevent accidental changes.</t>
  </si>
  <si>
    <t>This sheet performs background calculations and is expected to remain hidden; however, advanced users can view the time series kWh and Therm savings by measure index here.</t>
  </si>
  <si>
    <t>These time series are fed into the formulas (in Fuel Sub Calcs tab, Section 2) for Lifecycle Savings - Primary Energy and Emissions.</t>
  </si>
  <si>
    <t>Key</t>
  </si>
  <si>
    <t>Impact</t>
  </si>
  <si>
    <t>Description</t>
  </si>
  <si>
    <t>yrs1BL</t>
  </si>
  <si>
    <t>In a given year, represents what fraction of the year the measure is active and considered part of the "first baseline".</t>
  </si>
  <si>
    <t>yrs2BL</t>
  </si>
  <si>
    <t>In a given year, represents what fraction of the year the measure is active and considered part of the "second baseline" (for AR measures only).</t>
  </si>
  <si>
    <t>In a given year, represents kWh savings at the meter.</t>
  </si>
  <si>
    <t>Therm</t>
  </si>
  <si>
    <t>In a given year, represents Therms savings at the meter.</t>
  </si>
  <si>
    <t>Savings</t>
  </si>
  <si>
    <t>Year</t>
  </si>
  <si>
    <t>Quantity (number of units)</t>
  </si>
  <si>
    <t>Install Type</t>
  </si>
  <si>
    <t>1st Baseline Life</t>
  </si>
  <si>
    <t>EUL</t>
  </si>
  <si>
    <t>1BL</t>
  </si>
  <si>
    <t>2BL</t>
  </si>
  <si>
    <t>End 1st BL</t>
  </si>
  <si>
    <t>End EUL</t>
  </si>
  <si>
    <t>Lifetime total</t>
  </si>
  <si>
    <t>Fuel Substitution: Annual Factors</t>
  </si>
  <si>
    <t>FuelSub_Annual Factors</t>
  </si>
  <si>
    <t>Prepared by:</t>
  </si>
  <si>
    <t>Energy and Environmental Economics, Inc.</t>
  </si>
  <si>
    <t>44 Montgomery Street, Suite 1500</t>
  </si>
  <si>
    <t>San Francisco, CA 94104</t>
  </si>
  <si>
    <t>Phone: 415-391-5100</t>
  </si>
  <si>
    <t>Long Run System Characteristics</t>
  </si>
  <si>
    <t>Emissions Intensity (short tons/MWh)</t>
  </si>
  <si>
    <t>Source Energy (Btu/kWh)</t>
  </si>
  <si>
    <t>Emissions Intensity
(metric tonnes/MWh)</t>
  </si>
  <si>
    <t>2017/2018 IRP Reference System Plan</t>
  </si>
  <si>
    <t>Load</t>
  </si>
  <si>
    <t>GWh</t>
  </si>
  <si>
    <t>Total Retail Sales</t>
  </si>
  <si>
    <t>Total CAISO Emissions</t>
  </si>
  <si>
    <t>MMtCO2</t>
  </si>
  <si>
    <t>Million Short Tons CO2</t>
  </si>
  <si>
    <t>2045 Supply Assumption</t>
  </si>
  <si>
    <t>Share of Fossil Generation</t>
  </si>
  <si>
    <t>%</t>
  </si>
  <si>
    <t>Intensity of fossil generation</t>
  </si>
  <si>
    <t>tonnes/MWh</t>
  </si>
  <si>
    <t>Emissions Intensity in 2045</t>
  </si>
  <si>
    <r>
      <t>CO</t>
    </r>
    <r>
      <rPr>
        <vertAlign val="subscript"/>
        <sz val="10"/>
        <color theme="1"/>
        <rFont val="Calibri"/>
        <family val="2"/>
        <scheme val="minor"/>
      </rPr>
      <t>2</t>
    </r>
    <r>
      <rPr>
        <sz val="10"/>
        <color theme="1"/>
        <rFont val="Calibri"/>
        <family val="2"/>
        <scheme val="minor"/>
      </rPr>
      <t xml:space="preserve"> emissions of NG combustion</t>
    </r>
  </si>
  <si>
    <t>short tons/MMBtu</t>
  </si>
  <si>
    <r>
      <t>Million Short Tons CO</t>
    </r>
    <r>
      <rPr>
        <i/>
        <vertAlign val="subscript"/>
        <sz val="10"/>
        <color theme="2" tint="-0.499984740745262"/>
        <rFont val="Calibri"/>
        <family val="2"/>
        <scheme val="minor"/>
      </rPr>
      <t>2</t>
    </r>
  </si>
  <si>
    <t>Emissions Intensity</t>
  </si>
  <si>
    <t>short tons/MWh</t>
  </si>
  <si>
    <t>Source Energy</t>
  </si>
  <si>
    <t>Btu/kWh</t>
  </si>
  <si>
    <t>Name</t>
  </si>
  <si>
    <t>Value</t>
  </si>
  <si>
    <t>Units</t>
  </si>
  <si>
    <t>Ton to Tonne</t>
  </si>
  <si>
    <t>short tons/metric tonne</t>
  </si>
  <si>
    <t>MMBtu to Therms</t>
  </si>
  <si>
    <t>MMBtu/therm</t>
  </si>
  <si>
    <t>Btu to Therm</t>
  </si>
  <si>
    <t>Btu/therm</t>
  </si>
  <si>
    <t>Btu to kWh</t>
  </si>
  <si>
    <t>Natural Gas Carbon Content</t>
  </si>
  <si>
    <t>metric tons/therm</t>
  </si>
  <si>
    <t>CCGT Characteristics</t>
  </si>
  <si>
    <t>Heat Rate</t>
  </si>
  <si>
    <t>Natural Gas Emissions (at generator)</t>
  </si>
  <si>
    <t>tonnes/MWh generated</t>
  </si>
  <si>
    <t>Natural Gas Emissions (delivered)</t>
  </si>
  <si>
    <t>tonnes/MWh delivered</t>
  </si>
  <si>
    <t>Loss Factors from ACC_2019_v1b</t>
  </si>
  <si>
    <t>PG&amp;E</t>
  </si>
  <si>
    <t>SCE</t>
  </si>
  <si>
    <t>SDG&amp;E</t>
  </si>
  <si>
    <t>Weighted Average Loss Factor</t>
  </si>
  <si>
    <t>Statewide Average</t>
  </si>
  <si>
    <t>&lt;&lt; Used to estimate the percentage of generation that would be permitted under SB 100</t>
  </si>
  <si>
    <t>TOU Period</t>
  </si>
  <si>
    <t>Summer Peak</t>
  </si>
  <si>
    <t>Summer Shoulder</t>
  </si>
  <si>
    <t>Summer Off-Peak</t>
  </si>
  <si>
    <t>Winter Peak</t>
  </si>
  <si>
    <t>-</t>
  </si>
  <si>
    <t>Winter Shoulder</t>
  </si>
  <si>
    <t>Winter Off-Peak</t>
  </si>
  <si>
    <t>Number of hours by TOU Period</t>
  </si>
  <si>
    <t>Total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</si>
</sst>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000"/>
    <numFmt numFmtId="167" formatCode="_(* #,##0.000_);_(* \(#,##0.000\);_(* &quot;-&quot;??_);_(@_)"/>
    <numFmt numFmtId="168" formatCode="[$-409]mmmm\ d\,\ yyyy;@"/>
    <numFmt numFmtId="169" formatCode="0.0000"/>
    <numFmt numFmtId="170" formatCode="0.0"/>
    <numFmt numFmtId="171" formatCode="#,##0.0"/>
    <numFmt numFmtId="172" formatCode="#,##0.000"/>
  </numFmts>
  <fonts count="20">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0"/>
      <color rgb="FF000000"/>
      <name val="Calibri"/>
      <family val="2"/>
    </font>
    <font>
      <i/>
      <sz val="10"/>
      <color rgb="FF757171"/>
      <name val="Calibri"/>
      <family val="2"/>
    </font>
    <font>
      <sz val="10"/>
      <color theme="1"/>
      <name val="Calibri"/>
      <family val="2"/>
      <scheme val="minor"/>
    </font>
    <font>
      <i/>
      <sz val="10"/>
      <color theme="2" tint="-0.499984740745262"/>
      <name val="Calibri"/>
      <family val="2"/>
      <scheme val="minor"/>
    </font>
    <font>
      <b/>
      <u/>
      <sz val="11"/>
      <color theme="1"/>
      <name val="Calibri"/>
      <family val="2"/>
      <scheme val="minor"/>
    </font>
    <font>
      <i/>
      <sz val="11"/>
      <color theme="1"/>
      <name val="Calibri"/>
      <family val="2"/>
      <scheme val="minor"/>
    </font>
    <font>
      <b/>
      <sz val="20"/>
      <name val="Calibri"/>
      <family val="2"/>
      <scheme val="minor"/>
    </font>
    <font>
      <sz val="10"/>
      <name val="Calibri"/>
      <family val="2"/>
      <scheme val="minor"/>
    </font>
    <font>
      <b/>
      <sz val="12"/>
      <name val="Calibri"/>
      <family val="2"/>
      <scheme val="minor"/>
    </font>
    <font>
      <b/>
      <sz val="10"/>
      <name val="Calibri"/>
      <family val="2"/>
      <scheme val="minor"/>
    </font>
    <font>
      <u/>
      <sz val="11"/>
      <color theme="1"/>
      <name val="Calibri"/>
      <family val="2"/>
      <scheme val="minor"/>
    </font>
    <font>
      <vertAlign val="subscript"/>
      <sz val="10"/>
      <color theme="1"/>
      <name val="Calibri"/>
      <family val="2"/>
      <scheme val="minor"/>
    </font>
    <font>
      <i/>
      <vertAlign val="subscript"/>
      <sz val="10"/>
      <color theme="2" tint="-0.499984740745262"/>
      <name val="Calibri"/>
      <family val="2"/>
      <scheme val="minor"/>
    </font>
    <font>
      <sz val="20"/>
      <color theme="1"/>
      <name val="Calibri"/>
      <family val="2"/>
      <scheme val="minor"/>
    </font>
    <font>
      <b/>
      <sz val="15"/>
      <color theme="3"/>
      <name val="Calibri"/>
      <family val="2"/>
      <scheme val="minor"/>
    </font>
    <font>
      <b/>
      <sz val="11"/>
      <color rgb="FF3F3F3F"/>
      <name val="Calibri"/>
      <family val="2"/>
      <scheme val="minor"/>
    </font>
  </fonts>
  <fills count="17">
    <fill>
      <patternFill patternType="none"/>
    </fill>
    <fill>
      <patternFill patternType="gray125"/>
    </fill>
    <fill>
      <patternFill patternType="solid">
        <fgColor theme="5"/>
      </patternFill>
    </fill>
    <fill>
      <patternFill patternType="solid">
        <fgColor rgb="FFD9D9D9"/>
        <bgColor rgb="FF000000"/>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3F3F3F"/>
      </right>
      <top style="thin">
        <color rgb="FF3F3F3F"/>
      </top>
      <bottom style="thin">
        <color rgb="FF3F3F3F"/>
      </bottom>
      <diagonal/>
    </border>
    <border>
      <left style="thin">
        <color indexed="64"/>
      </left>
      <right style="thin">
        <color indexed="64"/>
      </right>
      <top/>
      <bottom/>
      <diagonal/>
    </border>
    <border>
      <left style="thin">
        <color rgb="FF3F3F3F"/>
      </left>
      <right style="thin">
        <color rgb="FF3F3F3F"/>
      </right>
      <top/>
      <bottom style="thin">
        <color rgb="FF3F3F3F"/>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style="thin">
        <color indexed="64"/>
      </bottom>
      <diagonal/>
    </border>
    <border>
      <left style="thin">
        <color theme="0" tint="-0.24994659260841701"/>
      </left>
      <right/>
      <top/>
      <bottom/>
      <diagonal/>
    </border>
  </borders>
  <cellStyleXfs count="6">
    <xf numFmtId="0" fontId="0" fillId="0" borderId="0"/>
    <xf numFmtId="43" fontId="2" fillId="0" borderId="0" applyFont="0" applyFill="0" applyBorder="0" applyAlignment="0" applyProtection="0"/>
    <xf numFmtId="0" fontId="3" fillId="2" borderId="0" applyNumberFormat="0" applyBorder="0" applyAlignment="0" applyProtection="0"/>
    <xf numFmtId="9" fontId="2" fillId="0" borderId="0" applyFont="0" applyFill="0" applyBorder="0" applyAlignment="0" applyProtection="0"/>
    <xf numFmtId="0" fontId="18" fillId="0" borderId="12" applyNumberFormat="0" applyFill="0" applyAlignment="0" applyProtection="0"/>
    <xf numFmtId="0" fontId="19" fillId="10" borderId="13" applyNumberFormat="0" applyAlignment="0" applyProtection="0"/>
  </cellStyleXfs>
  <cellXfs count="164">
    <xf numFmtId="0" fontId="0" fillId="0" borderId="0" xfId="0"/>
    <xf numFmtId="0" fontId="4" fillId="0" borderId="5" xfId="0" applyFont="1" applyBorder="1"/>
    <xf numFmtId="0" fontId="5" fillId="0" borderId="7" xfId="0" applyFont="1" applyBorder="1" applyAlignment="1">
      <alignment horizontal="right"/>
    </xf>
    <xf numFmtId="164" fontId="4" fillId="3" borderId="5" xfId="1" applyNumberFormat="1" applyFont="1" applyFill="1" applyBorder="1"/>
    <xf numFmtId="164" fontId="4" fillId="3" borderId="6" xfId="1" applyNumberFormat="1" applyFont="1" applyFill="1" applyBorder="1"/>
    <xf numFmtId="164" fontId="4" fillId="3" borderId="7" xfId="1" applyNumberFormat="1" applyFont="1" applyFill="1" applyBorder="1"/>
    <xf numFmtId="0" fontId="6" fillId="0" borderId="8" xfId="0" applyFont="1" applyBorder="1"/>
    <xf numFmtId="0" fontId="7" fillId="0" borderId="11" xfId="0" applyFont="1" applyBorder="1" applyAlignment="1">
      <alignment horizontal="right"/>
    </xf>
    <xf numFmtId="164" fontId="6" fillId="4" borderId="1" xfId="1" applyNumberFormat="1" applyFont="1" applyFill="1" applyBorder="1"/>
    <xf numFmtId="164" fontId="6" fillId="4" borderId="0" xfId="1" applyNumberFormat="1" applyFont="1" applyFill="1"/>
    <xf numFmtId="164" fontId="6" fillId="4" borderId="2" xfId="1" applyNumberFormat="1" applyFont="1" applyFill="1" applyBorder="1"/>
    <xf numFmtId="0" fontId="6" fillId="0" borderId="5" xfId="0" applyFont="1" applyBorder="1"/>
    <xf numFmtId="0" fontId="7" fillId="0" borderId="7" xfId="0" applyFont="1" applyBorder="1" applyAlignment="1">
      <alignment horizontal="right"/>
    </xf>
    <xf numFmtId="165" fontId="6" fillId="4" borderId="5" xfId="1" applyNumberFormat="1" applyFont="1" applyFill="1" applyBorder="1"/>
    <xf numFmtId="165" fontId="6" fillId="4" borderId="6" xfId="1" applyNumberFormat="1" applyFont="1" applyFill="1" applyBorder="1"/>
    <xf numFmtId="165" fontId="6" fillId="4" borderId="7" xfId="1" applyNumberFormat="1" applyFont="1" applyFill="1" applyBorder="1"/>
    <xf numFmtId="164" fontId="0" fillId="5" borderId="0" xfId="0" applyNumberFormat="1" applyFill="1"/>
    <xf numFmtId="164" fontId="0" fillId="0" borderId="0" xfId="1" applyNumberFormat="1" applyFont="1"/>
    <xf numFmtId="164" fontId="0" fillId="0" borderId="0" xfId="0" applyNumberFormat="1"/>
    <xf numFmtId="165" fontId="0" fillId="5" borderId="0" xfId="0" applyNumberFormat="1" applyFill="1"/>
    <xf numFmtId="165" fontId="0" fillId="0" borderId="0" xfId="1" applyNumberFormat="1" applyFont="1"/>
    <xf numFmtId="165" fontId="0" fillId="0" borderId="0" xfId="0" applyNumberFormat="1"/>
    <xf numFmtId="166" fontId="0" fillId="5" borderId="0" xfId="0" applyNumberFormat="1" applyFill="1"/>
    <xf numFmtId="167" fontId="0" fillId="0" borderId="0" xfId="1" applyNumberFormat="1" applyFont="1"/>
    <xf numFmtId="167" fontId="0" fillId="0" borderId="0" xfId="0" applyNumberFormat="1"/>
    <xf numFmtId="167" fontId="0" fillId="5" borderId="0" xfId="0" applyNumberFormat="1" applyFill="1"/>
    <xf numFmtId="0" fontId="8" fillId="0" borderId="0" xfId="0" applyFont="1"/>
    <xf numFmtId="0" fontId="9" fillId="0" borderId="1" xfId="0" applyFont="1" applyBorder="1"/>
    <xf numFmtId="167" fontId="0" fillId="0" borderId="0" xfId="1" applyNumberFormat="1" applyFont="1" applyBorder="1"/>
    <xf numFmtId="164" fontId="0" fillId="0" borderId="2" xfId="1" applyNumberFormat="1" applyFont="1" applyBorder="1"/>
    <xf numFmtId="0" fontId="9" fillId="0" borderId="3" xfId="0" applyFont="1" applyBorder="1"/>
    <xf numFmtId="167" fontId="0" fillId="0" borderId="10" xfId="1" applyNumberFormat="1" applyFont="1" applyBorder="1"/>
    <xf numFmtId="164" fontId="0" fillId="0" borderId="4" xfId="1" applyNumberFormat="1" applyFont="1" applyBorder="1"/>
    <xf numFmtId="0" fontId="0" fillId="0" borderId="0" xfId="0" applyFont="1"/>
    <xf numFmtId="0" fontId="0" fillId="0" borderId="0" xfId="0" applyAlignment="1">
      <alignment vertical="center"/>
    </xf>
    <xf numFmtId="0" fontId="9" fillId="0" borderId="1" xfId="0" applyFont="1" applyBorder="1" applyAlignment="1">
      <alignment horizontal="center" vertical="center"/>
    </xf>
    <xf numFmtId="0" fontId="10" fillId="6" borderId="0" xfId="0" applyFont="1" applyFill="1"/>
    <xf numFmtId="0" fontId="11" fillId="6" borderId="0" xfId="0" applyFont="1" applyFill="1"/>
    <xf numFmtId="0" fontId="12" fillId="6" borderId="0" xfId="0" applyFont="1" applyFill="1" applyAlignment="1">
      <alignment horizontal="left"/>
    </xf>
    <xf numFmtId="0" fontId="13" fillId="6" borderId="0" xfId="0" applyFont="1" applyFill="1" applyAlignment="1">
      <alignment horizontal="left"/>
    </xf>
    <xf numFmtId="168" fontId="11" fillId="6" borderId="0" xfId="0" applyNumberFormat="1" applyFont="1" applyFill="1" applyAlignment="1">
      <alignment horizontal="left"/>
    </xf>
    <xf numFmtId="0" fontId="11" fillId="6" borderId="0" xfId="0" applyFont="1" applyFill="1" applyAlignment="1"/>
    <xf numFmtId="0" fontId="1" fillId="0" borderId="0" xfId="0" applyFont="1"/>
    <xf numFmtId="0" fontId="0" fillId="0" borderId="0" xfId="0" applyAlignment="1">
      <alignment horizontal="right"/>
    </xf>
    <xf numFmtId="0" fontId="1" fillId="0" borderId="0" xfId="0" applyFont="1" applyAlignment="1">
      <alignment horizontal="right"/>
    </xf>
    <xf numFmtId="164" fontId="1" fillId="0" borderId="0" xfId="1" applyNumberFormat="1" applyFont="1"/>
    <xf numFmtId="166" fontId="0" fillId="0" borderId="0" xfId="0" applyNumberFormat="1"/>
    <xf numFmtId="10" fontId="1" fillId="0" borderId="0" xfId="3" applyNumberFormat="1" applyFont="1"/>
    <xf numFmtId="10" fontId="0" fillId="0" borderId="0" xfId="0" applyNumberFormat="1"/>
    <xf numFmtId="0" fontId="9" fillId="0" borderId="0" xfId="0" applyFont="1"/>
    <xf numFmtId="169" fontId="0" fillId="0" borderId="0" xfId="0" applyNumberFormat="1"/>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0" fillId="4" borderId="0" xfId="0" applyFill="1"/>
    <xf numFmtId="0" fontId="1" fillId="0" borderId="14" xfId="0" applyFont="1" applyBorder="1"/>
    <xf numFmtId="0" fontId="0" fillId="0" borderId="14" xfId="0" applyBorder="1"/>
    <xf numFmtId="0" fontId="1" fillId="0" borderId="0" xfId="0" applyFont="1" applyBorder="1"/>
    <xf numFmtId="0" fontId="0" fillId="0" borderId="0" xfId="0" applyBorder="1"/>
    <xf numFmtId="170" fontId="0" fillId="0" borderId="0" xfId="0" applyNumberFormat="1" applyBorder="1"/>
    <xf numFmtId="170" fontId="0" fillId="0" borderId="14" xfId="0" applyNumberFormat="1" applyBorder="1"/>
    <xf numFmtId="0" fontId="0" fillId="4" borderId="0" xfId="0" applyFill="1" applyProtection="1"/>
    <xf numFmtId="170" fontId="19" fillId="10" borderId="14" xfId="5" applyNumberFormat="1" applyBorder="1" applyProtection="1"/>
    <xf numFmtId="0" fontId="0" fillId="7" borderId="15" xfId="0" applyFill="1" applyBorder="1"/>
    <xf numFmtId="0" fontId="0" fillId="11" borderId="14" xfId="0" applyFill="1" applyBorder="1" applyProtection="1">
      <protection locked="0"/>
    </xf>
    <xf numFmtId="170" fontId="19" fillId="10" borderId="13" xfId="5" applyNumberFormat="1"/>
    <xf numFmtId="0" fontId="19" fillId="10" borderId="13" xfId="5"/>
    <xf numFmtId="0" fontId="19" fillId="10" borderId="16" xfId="5" applyBorder="1" applyProtection="1"/>
    <xf numFmtId="0" fontId="0" fillId="7" borderId="14" xfId="0" applyFill="1" applyBorder="1"/>
    <xf numFmtId="0" fontId="0" fillId="8" borderId="15" xfId="0" applyFill="1" applyBorder="1"/>
    <xf numFmtId="0" fontId="19" fillId="10" borderId="13" xfId="5" applyAlignment="1">
      <alignment horizontal="center"/>
    </xf>
    <xf numFmtId="170" fontId="19" fillId="10" borderId="13" xfId="5" applyNumberFormat="1" applyAlignment="1">
      <alignment horizontal="center"/>
    </xf>
    <xf numFmtId="0" fontId="0" fillId="11" borderId="14" xfId="0" applyFill="1" applyBorder="1" applyAlignment="1" applyProtection="1">
      <alignment horizontal="center"/>
      <protection locked="0"/>
    </xf>
    <xf numFmtId="170" fontId="0" fillId="11" borderId="14" xfId="0" applyNumberFormat="1" applyFill="1" applyBorder="1" applyAlignment="1" applyProtection="1">
      <alignment horizontal="center"/>
      <protection locked="0"/>
    </xf>
    <xf numFmtId="0" fontId="0" fillId="11" borderId="14" xfId="0" applyNumberFormat="1" applyFill="1" applyBorder="1" applyAlignment="1" applyProtection="1">
      <alignment horizontal="center"/>
      <protection locked="0"/>
    </xf>
    <xf numFmtId="0" fontId="19" fillId="10" borderId="14" xfId="5" applyBorder="1" applyProtection="1"/>
    <xf numFmtId="0" fontId="0" fillId="12" borderId="14"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7" borderId="15" xfId="0" applyFill="1" applyBorder="1" applyAlignment="1">
      <alignment vertical="top"/>
    </xf>
    <xf numFmtId="0" fontId="18" fillId="0" borderId="12" xfId="4"/>
    <xf numFmtId="0" fontId="0" fillId="7" borderId="15" xfId="0" applyFill="1" applyBorder="1" applyAlignment="1">
      <alignment horizontal="center" wrapText="1"/>
    </xf>
    <xf numFmtId="0" fontId="0" fillId="9" borderId="15" xfId="0" applyFill="1" applyBorder="1" applyAlignment="1">
      <alignment horizontal="center" vertical="top"/>
    </xf>
    <xf numFmtId="0" fontId="0" fillId="9" borderId="15" xfId="0" applyFill="1" applyBorder="1" applyAlignment="1">
      <alignment horizontal="center" vertical="top" wrapText="1"/>
    </xf>
    <xf numFmtId="0" fontId="0" fillId="8" borderId="15" xfId="0" applyFill="1" applyBorder="1" applyAlignment="1">
      <alignment horizontal="center" vertical="top"/>
    </xf>
    <xf numFmtId="0" fontId="0" fillId="7" borderId="15" xfId="0" applyFill="1" applyBorder="1" applyAlignment="1">
      <alignment horizontal="center" vertical="top"/>
    </xf>
    <xf numFmtId="0" fontId="0" fillId="7" borderId="14" xfId="0" applyFill="1" applyBorder="1" applyAlignment="1">
      <alignment horizontal="center"/>
    </xf>
    <xf numFmtId="0" fontId="0" fillId="7" borderId="15" xfId="0" applyFill="1" applyBorder="1" applyAlignment="1">
      <alignment horizontal="center" vertical="top" wrapText="1"/>
    </xf>
    <xf numFmtId="0" fontId="0" fillId="8" borderId="17" xfId="0" applyFill="1" applyBorder="1"/>
    <xf numFmtId="0" fontId="19" fillId="10" borderId="16" xfId="5" applyBorder="1"/>
    <xf numFmtId="170" fontId="19" fillId="10" borderId="14" xfId="5" applyNumberFormat="1" applyBorder="1"/>
    <xf numFmtId="0" fontId="0" fillId="9" borderId="15" xfId="0" applyFill="1" applyBorder="1" applyAlignment="1">
      <alignment horizontal="center"/>
    </xf>
    <xf numFmtId="0" fontId="0" fillId="8" borderId="15" xfId="0" applyFill="1" applyBorder="1" applyAlignment="1">
      <alignment horizontal="center" vertical="top" wrapText="1"/>
    </xf>
    <xf numFmtId="0" fontId="0" fillId="8" borderId="15" xfId="0" applyFill="1" applyBorder="1" applyAlignment="1">
      <alignment wrapText="1"/>
    </xf>
    <xf numFmtId="0" fontId="0" fillId="7" borderId="15" xfId="0" applyFill="1" applyBorder="1" applyAlignment="1">
      <alignment wrapText="1"/>
    </xf>
    <xf numFmtId="0" fontId="0" fillId="0" borderId="0" xfId="0" applyAlignment="1">
      <alignment vertical="center" wrapText="1"/>
    </xf>
    <xf numFmtId="171" fontId="0" fillId="11" borderId="14" xfId="0" applyNumberFormat="1" applyFill="1" applyBorder="1" applyAlignment="1" applyProtection="1">
      <alignment horizontal="center"/>
      <protection locked="0"/>
    </xf>
    <xf numFmtId="172" fontId="19" fillId="10" borderId="13" xfId="5" applyNumberFormat="1" applyAlignment="1">
      <alignment horizontal="center"/>
    </xf>
    <xf numFmtId="171" fontId="19" fillId="10" borderId="13" xfId="5" applyNumberFormat="1" applyAlignment="1">
      <alignment horizontal="center"/>
    </xf>
    <xf numFmtId="0" fontId="19" fillId="10" borderId="18" xfId="5" applyBorder="1" applyAlignment="1">
      <alignment horizontal="center"/>
    </xf>
    <xf numFmtId="171" fontId="19" fillId="10" borderId="16" xfId="5" applyNumberFormat="1" applyBorder="1" applyProtection="1"/>
    <xf numFmtId="0" fontId="0" fillId="4" borderId="20" xfId="0" applyFill="1" applyBorder="1"/>
    <xf numFmtId="0" fontId="0" fillId="4" borderId="24" xfId="0" applyFill="1" applyBorder="1"/>
    <xf numFmtId="0" fontId="0" fillId="4" borderId="25" xfId="0" applyFill="1" applyBorder="1"/>
    <xf numFmtId="0" fontId="0" fillId="11" borderId="14" xfId="0" applyFill="1" applyBorder="1" applyAlignment="1" applyProtection="1">
      <alignment wrapText="1"/>
      <protection locked="0"/>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14" fontId="0" fillId="6" borderId="8" xfId="0" applyNumberFormat="1" applyFill="1" applyBorder="1" applyAlignment="1">
      <alignment horizontal="center" vertical="center"/>
    </xf>
    <xf numFmtId="14" fontId="0" fillId="6" borderId="11" xfId="0" applyNumberFormat="1" applyFill="1" applyBorder="1" applyAlignment="1">
      <alignment horizontal="center" vertical="center"/>
    </xf>
    <xf numFmtId="14" fontId="0" fillId="6" borderId="1" xfId="0" applyNumberFormat="1" applyFill="1" applyBorder="1" applyAlignment="1">
      <alignment horizontal="center" vertical="center"/>
    </xf>
    <xf numFmtId="14" fontId="0" fillId="6" borderId="2" xfId="0" applyNumberFormat="1" applyFill="1" applyBorder="1" applyAlignment="1">
      <alignment horizontal="center" vertical="center"/>
    </xf>
    <xf numFmtId="14" fontId="0" fillId="6" borderId="3" xfId="0" applyNumberFormat="1" applyFill="1" applyBorder="1" applyAlignment="1">
      <alignment horizontal="center" vertical="center"/>
    </xf>
    <xf numFmtId="14" fontId="0" fillId="6" borderId="4" xfId="0" applyNumberFormat="1" applyFill="1" applyBorder="1" applyAlignment="1">
      <alignment horizontal="center" vertical="center"/>
    </xf>
    <xf numFmtId="0" fontId="0" fillId="6" borderId="14" xfId="0" applyFill="1" applyBorder="1" applyAlignment="1">
      <alignment horizontal="center"/>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4" xfId="0" applyFont="1" applyFill="1" applyBorder="1" applyAlignment="1">
      <alignment horizontal="center" vertical="center"/>
    </xf>
    <xf numFmtId="14" fontId="0" fillId="6" borderId="14" xfId="0" applyNumberFormat="1" applyFill="1" applyBorder="1" applyAlignment="1">
      <alignment horizontal="center"/>
    </xf>
    <xf numFmtId="0" fontId="0" fillId="6" borderId="14" xfId="0" applyFill="1" applyBorder="1" applyAlignment="1">
      <alignment horizontal="left" vertical="top"/>
    </xf>
    <xf numFmtId="0" fontId="0" fillId="6" borderId="14" xfId="0" applyFill="1" applyBorder="1" applyAlignment="1">
      <alignment horizontal="left" vertical="top" wrapText="1"/>
    </xf>
    <xf numFmtId="14" fontId="0" fillId="6" borderId="8" xfId="0" applyNumberFormat="1" applyFill="1" applyBorder="1" applyAlignment="1">
      <alignment horizontal="center" vertical="top"/>
    </xf>
    <xf numFmtId="14" fontId="0" fillId="6" borderId="11" xfId="0" applyNumberFormat="1" applyFill="1" applyBorder="1" applyAlignment="1">
      <alignment horizontal="center" vertical="top"/>
    </xf>
    <xf numFmtId="14" fontId="0" fillId="6" borderId="1" xfId="0" applyNumberFormat="1" applyFill="1" applyBorder="1" applyAlignment="1">
      <alignment horizontal="center" vertical="top"/>
    </xf>
    <xf numFmtId="14" fontId="0" fillId="6" borderId="2" xfId="0" applyNumberFormat="1" applyFill="1" applyBorder="1" applyAlignment="1">
      <alignment horizontal="center" vertical="top"/>
    </xf>
    <xf numFmtId="14" fontId="0" fillId="6" borderId="3" xfId="0" applyNumberFormat="1" applyFill="1" applyBorder="1" applyAlignment="1">
      <alignment horizontal="center" vertical="top"/>
    </xf>
    <xf numFmtId="14" fontId="0" fillId="6" borderId="4" xfId="0" applyNumberFormat="1" applyFill="1" applyBorder="1" applyAlignment="1">
      <alignment horizontal="center" vertical="top"/>
    </xf>
    <xf numFmtId="14" fontId="0" fillId="6" borderId="14" xfId="0" applyNumberFormat="1" applyFill="1" applyBorder="1" applyAlignment="1">
      <alignment horizontal="center" vertical="top"/>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1" xfId="0" applyFill="1" applyBorder="1" applyAlignment="1">
      <alignment horizontal="left" vertical="top" wrapText="1"/>
    </xf>
    <xf numFmtId="0" fontId="0" fillId="6" borderId="1" xfId="0" applyFill="1" applyBorder="1" applyAlignment="1">
      <alignment horizontal="left" vertical="top" wrapText="1"/>
    </xf>
    <xf numFmtId="0" fontId="0" fillId="6" borderId="0" xfId="0" applyFill="1" applyBorder="1" applyAlignment="1">
      <alignment horizontal="left" vertical="top"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10" xfId="0" applyFill="1" applyBorder="1" applyAlignment="1">
      <alignment horizontal="left" vertical="top" wrapText="1"/>
    </xf>
    <xf numFmtId="0" fontId="0" fillId="6" borderId="4" xfId="0" applyFill="1" applyBorder="1" applyAlignment="1">
      <alignment horizontal="left" vertical="top" wrapText="1"/>
    </xf>
    <xf numFmtId="0" fontId="1" fillId="14" borderId="14" xfId="0" applyFont="1" applyFill="1" applyBorder="1" applyAlignment="1">
      <alignment horizontal="center"/>
    </xf>
    <xf numFmtId="0" fontId="18" fillId="0" borderId="12" xfId="4" applyAlignment="1">
      <alignment horizontal="center"/>
    </xf>
    <xf numFmtId="0" fontId="1" fillId="0" borderId="0" xfId="0" applyFont="1" applyAlignment="1">
      <alignment horizontal="center"/>
    </xf>
    <xf numFmtId="0" fontId="1" fillId="15" borderId="14" xfId="0" applyFont="1" applyFill="1" applyBorder="1" applyAlignment="1">
      <alignment horizontal="center"/>
    </xf>
    <xf numFmtId="0" fontId="1" fillId="13" borderId="14" xfId="0" applyFont="1" applyFill="1" applyBorder="1" applyAlignment="1"/>
    <xf numFmtId="0" fontId="0" fillId="8" borderId="14" xfId="0" applyFill="1" applyBorder="1" applyAlignment="1">
      <alignment horizontal="center" vertical="top" wrapText="1"/>
    </xf>
    <xf numFmtId="0" fontId="1" fillId="13" borderId="14" xfId="0" applyFont="1" applyFill="1" applyBorder="1" applyAlignment="1">
      <alignment horizontal="center"/>
    </xf>
    <xf numFmtId="0" fontId="0" fillId="7" borderId="14" xfId="0" applyFill="1" applyBorder="1" applyAlignment="1">
      <alignment horizontal="left"/>
    </xf>
    <xf numFmtId="0" fontId="0" fillId="11" borderId="5" xfId="0" applyFill="1" applyBorder="1" applyAlignment="1" applyProtection="1">
      <alignment horizontal="left"/>
      <protection locked="0"/>
    </xf>
    <xf numFmtId="0" fontId="0" fillId="11" borderId="7" xfId="0" applyFill="1" applyBorder="1" applyAlignment="1" applyProtection="1">
      <alignment horizontal="left"/>
      <protection locked="0"/>
    </xf>
    <xf numFmtId="0" fontId="19" fillId="10" borderId="14" xfId="5" applyBorder="1" applyAlignment="1">
      <alignment horizontal="left"/>
    </xf>
    <xf numFmtId="0" fontId="9" fillId="16" borderId="19" xfId="0" applyFont="1" applyFill="1" applyBorder="1" applyAlignment="1">
      <alignment horizontal="center"/>
    </xf>
    <xf numFmtId="0" fontId="9" fillId="16" borderId="20" xfId="0" applyFont="1" applyFill="1" applyBorder="1" applyAlignment="1">
      <alignment horizontal="center"/>
    </xf>
    <xf numFmtId="0" fontId="9" fillId="16" borderId="21" xfId="0" applyFont="1" applyFill="1" applyBorder="1" applyAlignment="1">
      <alignment horizontal="center"/>
    </xf>
    <xf numFmtId="0" fontId="9" fillId="16" borderId="22" xfId="0" applyFont="1" applyFill="1" applyBorder="1" applyAlignment="1">
      <alignment horizontal="center"/>
    </xf>
    <xf numFmtId="0" fontId="9" fillId="16" borderId="23"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left"/>
    </xf>
    <xf numFmtId="0" fontId="0" fillId="0" borderId="0" xfId="0" applyAlignment="1">
      <alignment horizontal="left"/>
    </xf>
    <xf numFmtId="0" fontId="3" fillId="2" borderId="8" xfId="2" applyBorder="1" applyAlignment="1">
      <alignment horizontal="center"/>
    </xf>
    <xf numFmtId="0" fontId="3" fillId="2" borderId="9" xfId="2" applyBorder="1" applyAlignment="1">
      <alignment horizontal="center"/>
    </xf>
    <xf numFmtId="0" fontId="3" fillId="2" borderId="11" xfId="2" applyBorder="1" applyAlignment="1">
      <alignment horizontal="center"/>
    </xf>
    <xf numFmtId="0" fontId="14" fillId="0" borderId="0" xfId="0" applyFont="1" applyAlignment="1">
      <alignment horizontal="center"/>
    </xf>
  </cellXfs>
  <cellStyles count="6">
    <cellStyle name="Accent2" xfId="2" builtinId="33"/>
    <cellStyle name="Comma" xfId="1" builtinId="3"/>
    <cellStyle name="Heading 1" xfId="4" builtinId="16"/>
    <cellStyle name="Normal" xfId="0" builtinId="0"/>
    <cellStyle name="Output" xfId="5" builtinId="21"/>
    <cellStyle name="Percent" xfId="3" builtinId="5"/>
  </cellStyles>
  <dxfs count="8">
    <dxf>
      <font>
        <b val="0"/>
        <i/>
        <color theme="0" tint="-0.14996795556505021"/>
      </font>
    </dxf>
    <dxf>
      <font>
        <b val="0"/>
        <i/>
        <color theme="0" tint="-0.14996795556505021"/>
      </font>
    </dxf>
    <dxf>
      <font>
        <b val="0"/>
        <i/>
        <color theme="0" tint="-0.14993743705557422"/>
      </font>
    </dxf>
    <dxf>
      <font>
        <b val="0"/>
        <i/>
        <color theme="0" tint="-0.14996795556505021"/>
      </font>
    </dxf>
    <dxf>
      <font>
        <b val="0"/>
        <i/>
        <color theme="0" tint="-0.14996795556505021"/>
      </font>
    </dxf>
    <dxf>
      <font>
        <b val="0"/>
        <i/>
        <color theme="0" tint="-0.14993743705557422"/>
      </font>
    </dxf>
    <dxf>
      <fill>
        <patternFill>
          <bgColor theme="6" tint="0.79998168889431442"/>
        </patternFill>
      </fill>
    </dxf>
    <dxf>
      <font>
        <color theme="0" tint="-0.499984740745262"/>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CAISO Projected Emissions Intensity</a:t>
            </a:r>
          </a:p>
          <a:p>
            <a:pPr>
              <a:defRPr/>
            </a:pPr>
            <a:r>
              <a:rPr lang="en-US"/>
              <a:t>(short tons / MWh</a:t>
            </a:r>
            <a:r>
              <a:rPr lang="en-US" baseline="0"/>
              <a:t> delivered)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'Long-run Emissions Inputs'!$C$18</c:f>
              <c:strCache>
                <c:ptCount val="1"/>
                <c:pt idx="0">
                  <c:v>short tons/MWh</c:v>
                </c:pt>
              </c:strCache>
            </c:strRef>
          </c:tx>
          <c:spPr>
            <a:ln w="28575" cap="rnd">
              <a:solidFill>
                <a:schemeClr val="accent1"/>
              </a:solidFill>
              <a:round/>
            </a:ln>
            <a:effectLst/>
          </c:spPr>
          <c:marker>
            <c:symbol val="none"/>
          </c:marker>
          <c:cat>
            <c:numRef>
              <c:f>'Long-run Emissions Inputs'!$D$15:$AI$15</c:f>
              <c:numCache>
                <c:formatCode>General</c:formatCode>
                <c:ptCount val="32"/>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numCache>
            </c:numRef>
          </c:cat>
          <c:val>
            <c:numRef>
              <c:f>'Long-run Emissions Inputs'!$D$18:$AI$18</c:f>
              <c:numCache>
                <c:formatCode>_(* #,##0.000_);_(* \(#,##0.000\);_(* "-"??_);_(@_)</c:formatCode>
                <c:ptCount val="32"/>
                <c:pt idx="0" formatCode="0.000">
                  <c:v>0.22275386975165123</c:v>
                </c:pt>
                <c:pt idx="1">
                  <c:v>0.21501453387094571</c:v>
                </c:pt>
                <c:pt idx="2">
                  <c:v>0.20727519799024019</c:v>
                </c:pt>
                <c:pt idx="3">
                  <c:v>0.19953586210953467</c:v>
                </c:pt>
                <c:pt idx="4" formatCode="0.000">
                  <c:v>0.19179652622882915</c:v>
                </c:pt>
                <c:pt idx="5">
                  <c:v>0.19922183495506099</c:v>
                </c:pt>
                <c:pt idx="6">
                  <c:v>0.20664714368129283</c:v>
                </c:pt>
                <c:pt idx="7">
                  <c:v>0.21407245240752468</c:v>
                </c:pt>
                <c:pt idx="8" formatCode="0.000">
                  <c:v>0.22149776113375649</c:v>
                </c:pt>
                <c:pt idx="9">
                  <c:v>0.21237244774647354</c:v>
                </c:pt>
                <c:pt idx="10">
                  <c:v>0.20324713435919059</c:v>
                </c:pt>
                <c:pt idx="11">
                  <c:v>0.19412182097190764</c:v>
                </c:pt>
                <c:pt idx="12" formatCode="0.000">
                  <c:v>0.18499650758462466</c:v>
                </c:pt>
                <c:pt idx="13">
                  <c:v>0.17458834880518451</c:v>
                </c:pt>
                <c:pt idx="14">
                  <c:v>0.16418019002574435</c:v>
                </c:pt>
                <c:pt idx="15">
                  <c:v>0.1537720312463042</c:v>
                </c:pt>
                <c:pt idx="16">
                  <c:v>0.14336387246686405</c:v>
                </c:pt>
                <c:pt idx="17">
                  <c:v>0.1329557136874239</c:v>
                </c:pt>
                <c:pt idx="18">
                  <c:v>0.12254755490798373</c:v>
                </c:pt>
                <c:pt idx="19">
                  <c:v>0.11213939612854357</c:v>
                </c:pt>
                <c:pt idx="20">
                  <c:v>0.1017312373491034</c:v>
                </c:pt>
                <c:pt idx="21">
                  <c:v>9.1323078569663235E-2</c:v>
                </c:pt>
                <c:pt idx="22">
                  <c:v>8.0914919790223069E-2</c:v>
                </c:pt>
                <c:pt idx="23">
                  <c:v>7.0506761010782903E-2</c:v>
                </c:pt>
                <c:pt idx="24">
                  <c:v>6.0098602231342745E-2</c:v>
                </c:pt>
                <c:pt idx="25">
                  <c:v>4.9690443451902586E-2</c:v>
                </c:pt>
                <c:pt idx="26">
                  <c:v>3.9282284672462427E-2</c:v>
                </c:pt>
                <c:pt idx="27">
                  <c:v>2.8874125893022233E-2</c:v>
                </c:pt>
                <c:pt idx="28">
                  <c:v>2.8874125893022233E-2</c:v>
                </c:pt>
                <c:pt idx="29">
                  <c:v>2.8874125893022233E-2</c:v>
                </c:pt>
                <c:pt idx="30">
                  <c:v>2.8874125893022233E-2</c:v>
                </c:pt>
                <c:pt idx="31">
                  <c:v>2.8874125893022233E-2</c:v>
                </c:pt>
              </c:numCache>
            </c:numRef>
          </c:val>
          <c:smooth val="0"/>
          <c:extLst>
            <c:ext xmlns:c16="http://schemas.microsoft.com/office/drawing/2014/chart" uri="{C3380CC4-5D6E-409C-BE32-E72D297353CC}">
              <c16:uniqueId val="{00000000-B6B2-485F-B138-BA184A759DBA}"/>
            </c:ext>
          </c:extLst>
        </c:ser>
        <c:dLbls>
          <c:showLegendKey val="0"/>
          <c:showVal val="0"/>
          <c:showCatName val="0"/>
          <c:showSerName val="0"/>
          <c:showPercent val="0"/>
          <c:showBubbleSize val="0"/>
        </c:dLbls>
        <c:smooth val="0"/>
        <c:axId val="695853560"/>
        <c:axId val="474253968"/>
      </c:lineChart>
      <c:catAx>
        <c:axId val="69585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253968"/>
        <c:crosses val="autoZero"/>
        <c:auto val="1"/>
        <c:lblAlgn val="ctr"/>
        <c:lblOffset val="100"/>
        <c:noMultiLvlLbl val="0"/>
      </c:catAx>
      <c:valAx>
        <c:axId val="47425396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853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CAISO Projected Source Energy</a:t>
            </a:r>
          </a:p>
          <a:p>
            <a:pPr>
              <a:defRPr/>
            </a:pPr>
            <a:r>
              <a:rPr lang="en-US"/>
              <a:t>(Source Btu / MWh</a:t>
            </a:r>
            <a:r>
              <a:rPr lang="en-US" baseline="0"/>
              <a:t> delivered)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'Long-run Emissions Inputs'!$C$20</c:f>
              <c:strCache>
                <c:ptCount val="1"/>
                <c:pt idx="0">
                  <c:v>Btu/kWh</c:v>
                </c:pt>
              </c:strCache>
            </c:strRef>
          </c:tx>
          <c:spPr>
            <a:ln w="28575" cap="rnd">
              <a:solidFill>
                <a:schemeClr val="accent4"/>
              </a:solidFill>
              <a:round/>
            </a:ln>
            <a:effectLst/>
          </c:spPr>
          <c:marker>
            <c:symbol val="none"/>
          </c:marker>
          <c:cat>
            <c:numRef>
              <c:f>'Long-run Emissions Inputs'!$D$15:$AI$15</c:f>
              <c:numCache>
                <c:formatCode>General</c:formatCode>
                <c:ptCount val="32"/>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numCache>
            </c:numRef>
          </c:cat>
          <c:val>
            <c:numRef>
              <c:f>'Long-run Emissions Inputs'!$D$20:$AI$20</c:f>
              <c:numCache>
                <c:formatCode>_(* #,##0_);_(* \(#,##0\);_(* "-"??_);_(@_)</c:formatCode>
                <c:ptCount val="32"/>
                <c:pt idx="0">
                  <c:v>3807.7584572931833</c:v>
                </c:pt>
                <c:pt idx="1">
                  <c:v>3675.4621174520635</c:v>
                </c:pt>
                <c:pt idx="2">
                  <c:v>3543.1657776109432</c:v>
                </c:pt>
                <c:pt idx="3">
                  <c:v>3410.869437769823</c:v>
                </c:pt>
                <c:pt idx="4">
                  <c:v>3278.5730979287032</c:v>
                </c:pt>
                <c:pt idx="5">
                  <c:v>3405.5014522232646</c:v>
                </c:pt>
                <c:pt idx="6">
                  <c:v>3532.4298065178259</c:v>
                </c:pt>
                <c:pt idx="7">
                  <c:v>3659.3581608123873</c:v>
                </c:pt>
                <c:pt idx="8">
                  <c:v>3786.2865151069482</c:v>
                </c:pt>
                <c:pt idx="9">
                  <c:v>3630.2982520764704</c:v>
                </c:pt>
                <c:pt idx="10">
                  <c:v>3474.3099890459926</c:v>
                </c:pt>
                <c:pt idx="11">
                  <c:v>3318.3217260155147</c:v>
                </c:pt>
                <c:pt idx="12">
                  <c:v>3162.3334629850369</c:v>
                </c:pt>
                <c:pt idx="13">
                  <c:v>2984.4162188920427</c:v>
                </c:pt>
                <c:pt idx="14">
                  <c:v>2806.4989747990485</c:v>
                </c:pt>
                <c:pt idx="15">
                  <c:v>2628.5817307060543</c:v>
                </c:pt>
                <c:pt idx="16">
                  <c:v>2450.6644866130605</c:v>
                </c:pt>
                <c:pt idx="17">
                  <c:v>2272.7472425200667</c:v>
                </c:pt>
                <c:pt idx="18">
                  <c:v>2094.8299984270725</c:v>
                </c:pt>
                <c:pt idx="19">
                  <c:v>1916.912754334078</c:v>
                </c:pt>
                <c:pt idx="20">
                  <c:v>1738.9955102410836</c:v>
                </c:pt>
                <c:pt idx="21">
                  <c:v>1561.0782661480894</c:v>
                </c:pt>
                <c:pt idx="22">
                  <c:v>1383.1610220550951</c:v>
                </c:pt>
                <c:pt idx="23">
                  <c:v>1205.2437779621007</c:v>
                </c:pt>
                <c:pt idx="24">
                  <c:v>1027.3265338691067</c:v>
                </c:pt>
                <c:pt idx="25">
                  <c:v>849.40928977611247</c:v>
                </c:pt>
                <c:pt idx="26">
                  <c:v>671.49204568311836</c:v>
                </c:pt>
                <c:pt idx="27">
                  <c:v>493.57480159012363</c:v>
                </c:pt>
                <c:pt idx="28">
                  <c:v>493.57480159012363</c:v>
                </c:pt>
                <c:pt idx="29">
                  <c:v>493.57480159012363</c:v>
                </c:pt>
                <c:pt idx="30">
                  <c:v>493.57480159012363</c:v>
                </c:pt>
                <c:pt idx="31">
                  <c:v>493.57480159012363</c:v>
                </c:pt>
              </c:numCache>
            </c:numRef>
          </c:val>
          <c:smooth val="0"/>
          <c:extLst>
            <c:ext xmlns:c16="http://schemas.microsoft.com/office/drawing/2014/chart" uri="{C3380CC4-5D6E-409C-BE32-E72D297353CC}">
              <c16:uniqueId val="{00000000-4117-490E-8154-1099A7362231}"/>
            </c:ext>
          </c:extLst>
        </c:ser>
        <c:dLbls>
          <c:showLegendKey val="0"/>
          <c:showVal val="0"/>
          <c:showCatName val="0"/>
          <c:showSerName val="0"/>
          <c:showPercent val="0"/>
          <c:showBubbleSize val="0"/>
        </c:dLbls>
        <c:smooth val="0"/>
        <c:axId val="719086976"/>
        <c:axId val="702914144"/>
      </c:lineChart>
      <c:catAx>
        <c:axId val="71908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914144"/>
        <c:crosses val="autoZero"/>
        <c:auto val="1"/>
        <c:lblAlgn val="ctr"/>
        <c:lblOffset val="100"/>
        <c:noMultiLvlLbl val="0"/>
      </c:catAx>
      <c:valAx>
        <c:axId val="702914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086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600076</xdr:colOff>
      <xdr:row>5</xdr:row>
      <xdr:rowOff>114299</xdr:rowOff>
    </xdr:from>
    <xdr:ext cx="4914899" cy="11159554"/>
    <xdr:sp macro="" textlink="">
      <xdr:nvSpPr>
        <xdr:cNvPr id="2" name="TextBox 1">
          <a:extLst>
            <a:ext uri="{FF2B5EF4-FFF2-40B4-BE49-F238E27FC236}">
              <a16:creationId xmlns:a16="http://schemas.microsoft.com/office/drawing/2014/main" id="{C6A2B457-47A8-4F68-8DA0-64A7362D08C3}"/>
            </a:ext>
          </a:extLst>
        </xdr:cNvPr>
        <xdr:cNvSpPr txBox="1"/>
      </xdr:nvSpPr>
      <xdr:spPr>
        <a:xfrm>
          <a:off x="600076" y="1051184"/>
          <a:ext cx="4914899" cy="111595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b="1" i="0" u="none" strike="noStrike">
              <a:solidFill>
                <a:schemeClr val="dk1"/>
              </a:solidFill>
              <a:effectLst/>
              <a:latin typeface="+mn-lt"/>
              <a:ea typeface="+mn-ea"/>
              <a:cs typeface="+mn-cs"/>
            </a:rPr>
            <a:t>Background</a:t>
          </a:r>
        </a:p>
        <a:p>
          <a:r>
            <a:rPr lang="en-US" sz="1100">
              <a:solidFill>
                <a:schemeClr val="dk1"/>
              </a:solidFill>
              <a:effectLst/>
              <a:latin typeface="+mn-lt"/>
              <a:ea typeface="+mn-ea"/>
              <a:cs typeface="+mn-cs"/>
            </a:rPr>
            <a:t>On August 1, 2019, California Public Utilities Commission (CPUC) Decision 19-08-009 directed CPUC staff to issue technical guidelines for fuel substitution measures, including, but not limited to, guidance on calculation of source energy savings and environment offsets for fuel substitution measures. This calculator supplements the technical guidance document and should be considered an interim tool for use in performing the Fuel Substitution Test and calculating energy savings</a:t>
          </a:r>
          <a:r>
            <a:rPr lang="en-US" sz="1100" baseline="0">
              <a:solidFill>
                <a:schemeClr val="dk1"/>
              </a:solidFill>
              <a:effectLst/>
              <a:latin typeface="+mn-lt"/>
              <a:ea typeface="+mn-ea"/>
              <a:cs typeface="+mn-cs"/>
            </a:rPr>
            <a:t> for cost effectiveness analysis and reporting. </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How</a:t>
          </a:r>
          <a:r>
            <a:rPr lang="en-US" sz="1100" b="1" i="0" u="none" strike="noStrike" baseline="0">
              <a:solidFill>
                <a:schemeClr val="dk1"/>
              </a:solidFill>
              <a:effectLst/>
              <a:latin typeface="+mn-lt"/>
              <a:ea typeface="+mn-ea"/>
              <a:cs typeface="+mn-cs"/>
            </a:rPr>
            <a:t> to use this tool</a:t>
          </a:r>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"Fuel Sub Calcs" tab is divided into three sections for convenience.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Section 1</a:t>
          </a:r>
        </a:p>
        <a:p>
          <a:r>
            <a:rPr lang="en-US" sz="1100" b="0" i="0" u="none" strike="noStrike">
              <a:solidFill>
                <a:schemeClr val="dk1"/>
              </a:solidFill>
              <a:effectLst/>
              <a:latin typeface="+mn-lt"/>
              <a:ea typeface="+mn-ea"/>
              <a:cs typeface="+mn-cs"/>
            </a:rPr>
            <a:t>* Enter the inputs for your measures here.</a:t>
          </a:r>
        </a:p>
        <a:p>
          <a:r>
            <a:rPr lang="en-US" sz="1100" b="0" i="0" u="none" strike="noStrike">
              <a:solidFill>
                <a:schemeClr val="dk1"/>
              </a:solidFill>
              <a:effectLst/>
              <a:latin typeface="+mn-lt"/>
              <a:ea typeface="+mn-ea"/>
              <a:cs typeface="+mn-cs"/>
            </a:rPr>
            <a:t>* For each measure, input usage values (annual energy consumption) for the baseline and measure technologies. From these inputs, the</a:t>
          </a:r>
          <a:r>
            <a:rPr lang="en-US" sz="1100" b="0" i="0" u="none" strike="noStrike" baseline="0">
              <a:solidFill>
                <a:schemeClr val="dk1"/>
              </a:solidFill>
              <a:effectLst/>
              <a:latin typeface="+mn-lt"/>
              <a:ea typeface="+mn-ea"/>
              <a:cs typeface="+mn-cs"/>
            </a:rPr>
            <a:t> tool will compute savings. </a:t>
          </a:r>
          <a:r>
            <a:rPr lang="en-US" sz="1100" b="0" i="0" u="none" strike="noStrike">
              <a:solidFill>
                <a:schemeClr val="dk1"/>
              </a:solidFill>
              <a:effectLst/>
              <a:latin typeface="+mn-lt"/>
              <a:ea typeface="+mn-ea"/>
              <a:cs typeface="+mn-cs"/>
            </a:rPr>
            <a:t>This tool does not provide a field to directly input savings,</a:t>
          </a:r>
          <a:r>
            <a:rPr lang="en-US" sz="1100" b="0" i="0" u="none" strike="noStrike" baseline="0">
              <a:solidFill>
                <a:schemeClr val="dk1"/>
              </a:solidFill>
              <a:effectLst/>
              <a:latin typeface="+mn-lt"/>
              <a:ea typeface="+mn-ea"/>
              <a:cs typeface="+mn-cs"/>
            </a:rPr>
            <a:t> as that </a:t>
          </a:r>
          <a:r>
            <a:rPr lang="en-US" sz="1100" b="0" i="0" u="none" strike="noStrike">
              <a:solidFill>
                <a:schemeClr val="dk1"/>
              </a:solidFill>
              <a:effectLst/>
              <a:latin typeface="+mn-lt"/>
              <a:ea typeface="+mn-ea"/>
              <a:cs typeface="+mn-cs"/>
            </a:rPr>
            <a:t>option</a:t>
          </a:r>
          <a:r>
            <a:rPr lang="en-US" sz="1100" b="0" i="0" u="none" strike="noStrike" baseline="0">
              <a:solidFill>
                <a:schemeClr val="dk1"/>
              </a:solidFill>
              <a:effectLst/>
              <a:latin typeface="+mn-lt"/>
              <a:ea typeface="+mn-ea"/>
              <a:cs typeface="+mn-cs"/>
            </a:rPr>
            <a:t> will not be considered sufficient documentation of a fuel substitution measure.</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Section 2</a:t>
          </a:r>
        </a:p>
        <a:p>
          <a:r>
            <a:rPr lang="en-US" sz="1100" b="0" i="0" u="none" strike="noStrike">
              <a:solidFill>
                <a:schemeClr val="dk1"/>
              </a:solidFill>
              <a:effectLst/>
              <a:latin typeface="+mn-lt"/>
              <a:ea typeface="+mn-ea"/>
              <a:cs typeface="+mn-cs"/>
            </a:rPr>
            <a:t>* View the results of fuel substitution tests here. These are based on calculations of lifecycle primary energy and emissions.</a:t>
          </a:r>
          <a:r>
            <a:rPr lang="en-US"/>
            <a:t> </a:t>
          </a:r>
        </a:p>
        <a:p>
          <a:r>
            <a:rPr lang="en-US" sz="1100" b="0" i="0" u="none" strike="noStrike">
              <a:solidFill>
                <a:schemeClr val="dk1"/>
              </a:solidFill>
              <a:effectLst/>
              <a:latin typeface="+mn-lt"/>
              <a:ea typeface="+mn-ea"/>
              <a:cs typeface="+mn-cs"/>
            </a:rPr>
            <a:t>* For Part 1, one column displays the lifecycle savings of primary energy from carbon-based fuels. A second column displays a simple pass/fail result.</a:t>
          </a:r>
          <a:r>
            <a:rPr lang="en-US"/>
            <a:t> </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For Part 2, one column displays the lifecycle savings of carbon dioxide (CO</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emissions. A second column displays a simple pass/fail result.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Section 3</a:t>
          </a:r>
        </a:p>
        <a:p>
          <a:r>
            <a:rPr lang="en-US" sz="1100" b="0" i="0" u="none" strike="noStrike">
              <a:solidFill>
                <a:schemeClr val="dk1"/>
              </a:solidFill>
              <a:effectLst/>
              <a:latin typeface="+mn-lt"/>
              <a:ea typeface="+mn-ea"/>
              <a:cs typeface="+mn-cs"/>
            </a:rPr>
            <a:t>View the first year savings to be claimed towards energy efficiency program goals here.</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Methodology</a:t>
          </a:r>
          <a:r>
            <a:rPr lang="en-US"/>
            <a:t> </a:t>
          </a:r>
        </a:p>
        <a:p>
          <a:endParaRPr lang="en-US" sz="1100" b="0" i="0" u="none" strike="noStrike">
            <a:solidFill>
              <a:schemeClr val="dk1"/>
            </a:solidFill>
            <a:effectLst/>
            <a:latin typeface="+mn-lt"/>
            <a:ea typeface="+mn-ea"/>
            <a:cs typeface="+mn-cs"/>
          </a:endParaRPr>
        </a:p>
        <a:p>
          <a:r>
            <a:rPr lang="en-US" sz="1100" b="0" i="1" u="none" strike="noStrike">
              <a:solidFill>
                <a:schemeClr val="dk1"/>
              </a:solidFill>
              <a:effectLst/>
              <a:latin typeface="+mn-lt"/>
              <a:ea typeface="+mn-ea"/>
              <a:cs typeface="+mn-cs"/>
            </a:rPr>
            <a:t>Inputs (Section 1)</a:t>
          </a:r>
        </a:p>
        <a:p>
          <a:r>
            <a:rPr lang="en-US" sz="1100" b="0" i="0" u="none" strike="noStrike">
              <a:solidFill>
                <a:schemeClr val="dk1"/>
              </a:solidFill>
              <a:effectLst/>
              <a:latin typeface="+mn-lt"/>
              <a:ea typeface="+mn-ea"/>
              <a:cs typeface="+mn-cs"/>
            </a:rPr>
            <a:t>It</a:t>
          </a:r>
          <a:r>
            <a:rPr lang="en-US" sz="1100" b="0" i="0" u="none" strike="noStrike" baseline="0">
              <a:solidFill>
                <a:schemeClr val="dk1"/>
              </a:solidFill>
              <a:effectLst/>
              <a:latin typeface="+mn-lt"/>
              <a:ea typeface="+mn-ea"/>
              <a:cs typeface="+mn-cs"/>
            </a:rPr>
            <a:t> is preferred to record baseline and proposed/installed (aka measure case) annual usage values, and allow the tool to compute energy impacts (i.e. increase or decrease in annual usage) resulting from each measure. However, if only energy impacts are available, enter these in the savings columns and leave the usage columns blank. This tool supports single-baseline (e.g. normal replacement or NR) and dual-baseline measures (accelerated retirement or AR). For all measures, enter the full life of the measure as EUL. For AR measures only, enter the remaining useful life of the existing equipment as RUL, and enter information about the second baseline period. </a:t>
          </a:r>
          <a:r>
            <a:rPr lang="en-US" sz="1100" b="0" i="0">
              <a:solidFill>
                <a:schemeClr val="dk1"/>
              </a:solidFill>
              <a:effectLst/>
              <a:latin typeface="+mn-lt"/>
              <a:ea typeface="+mn-ea"/>
              <a:cs typeface="+mn-cs"/>
            </a:rPr>
            <a:t>For each measure input, b</a:t>
          </a:r>
          <a:r>
            <a:rPr lang="en-US" sz="1100" b="0" i="0" u="none" strike="noStrike" baseline="0">
              <a:solidFill>
                <a:schemeClr val="dk1"/>
              </a:solidFill>
              <a:effectLst/>
              <a:latin typeface="+mn-lt"/>
              <a:ea typeface="+mn-ea"/>
              <a:cs typeface="+mn-cs"/>
            </a:rPr>
            <a:t>ased on the lifetimes and impacts entered,</a:t>
          </a:r>
          <a:r>
            <a:rPr lang="en-US" sz="1100" b="0" i="0">
              <a:solidFill>
                <a:schemeClr val="dk1"/>
              </a:solidFill>
              <a:effectLst/>
              <a:latin typeface="+mn-lt"/>
              <a:ea typeface="+mn-ea"/>
              <a:cs typeface="+mn-cs"/>
            </a:rPr>
            <a:t> this tool computes a time series of annual impacts (electricity usage kWh and gas usage in therms) anticipated during each year from 2019 through 2049.</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1" u="none" strike="noStrike">
              <a:solidFill>
                <a:schemeClr val="dk1"/>
              </a:solidFill>
              <a:effectLst/>
              <a:latin typeface="+mn-lt"/>
              <a:ea typeface="+mn-ea"/>
              <a:cs typeface="+mn-cs"/>
            </a:rPr>
            <a:t>Fuel substitution</a:t>
          </a:r>
          <a:r>
            <a:rPr lang="en-US" sz="1100" b="0" i="1" u="none" strike="noStrike" baseline="0">
              <a:solidFill>
                <a:schemeClr val="dk1"/>
              </a:solidFill>
              <a:effectLst/>
              <a:latin typeface="+mn-lt"/>
              <a:ea typeface="+mn-ea"/>
              <a:cs typeface="+mn-cs"/>
            </a:rPr>
            <a:t> test (Section 2)</a:t>
          </a:r>
        </a:p>
        <a:p>
          <a:r>
            <a:rPr lang="en-US" sz="1100" b="0" i="0" u="none" strike="noStrike">
              <a:solidFill>
                <a:schemeClr val="dk1"/>
              </a:solidFill>
              <a:effectLst/>
              <a:latin typeface="+mn-lt"/>
              <a:ea typeface="+mn-ea"/>
              <a:cs typeface="+mn-cs"/>
            </a:rPr>
            <a:t>The time series of electricity impacts are multiplied by projected annual effective heat</a:t>
          </a:r>
          <a:r>
            <a:rPr lang="en-US" sz="1100" b="0" i="0" u="none" strike="noStrike" baseline="0">
              <a:solidFill>
                <a:schemeClr val="dk1"/>
              </a:solidFill>
              <a:effectLst/>
              <a:latin typeface="+mn-lt"/>
              <a:ea typeface="+mn-ea"/>
              <a:cs typeface="+mn-cs"/>
            </a:rPr>
            <a:t> rate</a:t>
          </a:r>
          <a:r>
            <a:rPr lang="en-US" sz="1100" b="0" i="0" u="none" strike="noStrike">
              <a:solidFill>
                <a:schemeClr val="dk1"/>
              </a:solidFill>
              <a:effectLst/>
              <a:latin typeface="+mn-lt"/>
              <a:ea typeface="+mn-ea"/>
              <a:cs typeface="+mn-cs"/>
            </a:rPr>
            <a:t> values</a:t>
          </a:r>
          <a:r>
            <a:rPr lang="en-US" sz="1100" b="0" i="0" u="none" strike="noStrike" baseline="0">
              <a:solidFill>
                <a:schemeClr val="dk1"/>
              </a:solidFill>
              <a:effectLst/>
              <a:latin typeface="+mn-lt"/>
              <a:ea typeface="+mn-ea"/>
              <a:cs typeface="+mn-cs"/>
            </a:rPr>
            <a:t> (the ratio of "source" BTUs at generation facilities to "site" kWh at the meter, which includes T&amp;D losses) </a:t>
          </a:r>
          <a:r>
            <a:rPr lang="en-US" sz="1100" b="0" i="0" u="none" strike="noStrike">
              <a:solidFill>
                <a:schemeClr val="dk1"/>
              </a:solidFill>
              <a:effectLst/>
              <a:latin typeface="+mn-lt"/>
              <a:ea typeface="+mn-ea"/>
              <a:cs typeface="+mn-cs"/>
            </a:rPr>
            <a:t>and CO</a:t>
          </a:r>
          <a:r>
            <a:rPr lang="en-US" sz="1100" b="0" i="0" u="none" strike="noStrike" baseline="-25000">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emissions intensity factors to determine the total lifecycle primary energy usage and emissions attributable to those impacts. </a:t>
          </a:r>
          <a:r>
            <a:rPr lang="en-US" sz="1100" b="0" i="0" baseline="0">
              <a:solidFill>
                <a:schemeClr val="dk1"/>
              </a:solidFill>
              <a:effectLst/>
              <a:latin typeface="+mn-lt"/>
              <a:ea typeface="+mn-ea"/>
              <a:cs typeface="+mn-cs"/>
            </a:rPr>
            <a:t>The time series of source energy and emissions intensity factors for electricity are </a:t>
          </a:r>
          <a:r>
            <a:rPr lang="en-US" sz="1100" b="0" i="0">
              <a:solidFill>
                <a:schemeClr val="dk1"/>
              </a:solidFill>
              <a:effectLst/>
              <a:latin typeface="+mn-lt"/>
              <a:ea typeface="+mn-ea"/>
              <a:cs typeface="+mn-cs"/>
            </a:rPr>
            <a:t>based on the Long-run emissions inputs</a:t>
          </a:r>
          <a:r>
            <a:rPr lang="en-US" sz="1100" b="0" i="0" baseline="0">
              <a:solidFill>
                <a:schemeClr val="dk1"/>
              </a:solidFill>
              <a:effectLst/>
              <a:latin typeface="+mn-lt"/>
              <a:ea typeface="+mn-ea"/>
              <a:cs typeface="+mn-cs"/>
            </a:rPr>
            <a:t> included as tabs at the end of this workbook. </a:t>
          </a:r>
          <a:r>
            <a:rPr lang="en-US" sz="1100" b="0" i="0" u="none" strike="noStrike">
              <a:solidFill>
                <a:schemeClr val="dk1"/>
              </a:solidFill>
              <a:effectLst/>
              <a:latin typeface="+mn-lt"/>
              <a:ea typeface="+mn-ea"/>
              <a:cs typeface="+mn-cs"/>
            </a:rPr>
            <a:t>For</a:t>
          </a:r>
          <a:r>
            <a:rPr lang="en-US" sz="1100" b="0" i="0" u="none" strike="noStrike" baseline="0">
              <a:solidFill>
                <a:schemeClr val="dk1"/>
              </a:solidFill>
              <a:effectLst/>
              <a:latin typeface="+mn-lt"/>
              <a:ea typeface="+mn-ea"/>
              <a:cs typeface="+mn-cs"/>
            </a:rPr>
            <a:t> gas impacts, the calculation of lifecycle energy involves merely conversion to primary energy units, and emissions intensity is fixed (so there are no annual time series).</a:t>
          </a: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r>
            <a:rPr lang="en-US" sz="1100" b="0" i="1" baseline="0">
              <a:solidFill>
                <a:schemeClr val="dk1"/>
              </a:solidFill>
              <a:effectLst/>
              <a:latin typeface="+mn-lt"/>
              <a:ea typeface="+mn-ea"/>
              <a:cs typeface="+mn-cs"/>
            </a:rPr>
            <a:t>For EE program reporting (Section 3)</a:t>
          </a:r>
        </a:p>
        <a:p>
          <a:r>
            <a:rPr lang="en-US" sz="1100" b="0" i="0" baseline="0">
              <a:solidFill>
                <a:schemeClr val="dk1"/>
              </a:solidFill>
              <a:effectLst/>
              <a:latin typeface="+mn-lt"/>
              <a:ea typeface="+mn-ea"/>
              <a:cs typeface="+mn-cs"/>
            </a:rPr>
            <a:t>The first table in this section provides the annual savings in the new fuel units that will be used for reporting.</a:t>
          </a:r>
        </a:p>
        <a:p>
          <a:r>
            <a:rPr lang="en-US" sz="1100" b="0" i="0" baseline="0">
              <a:solidFill>
                <a:schemeClr val="dk1"/>
              </a:solidFill>
              <a:effectLst/>
              <a:latin typeface="+mn-lt"/>
              <a:ea typeface="+mn-ea"/>
              <a:cs typeface="+mn-cs"/>
            </a:rPr>
            <a:t>This second table provides a copy/paste section for use with the most recent version of CET as of writing.</a:t>
          </a:r>
        </a:p>
        <a:p>
          <a:endParaRPr lang="en-US" sz="1100" b="0" i="0" baseline="0">
            <a:solidFill>
              <a:schemeClr val="dk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5</xdr:row>
      <xdr:rowOff>47625</xdr:rowOff>
    </xdr:from>
    <xdr:to>
      <xdr:col>3</xdr:col>
      <xdr:colOff>596215</xdr:colOff>
      <xdr:row>8</xdr:row>
      <xdr:rowOff>38100</xdr:rowOff>
    </xdr:to>
    <xdr:pic>
      <xdr:nvPicPr>
        <xdr:cNvPr id="2" name="Picture 1" descr="E3 fin logos">
          <a:extLst>
            <a:ext uri="{FF2B5EF4-FFF2-40B4-BE49-F238E27FC236}">
              <a16:creationId xmlns:a16="http://schemas.microsoft.com/office/drawing/2014/main" id="{E59D9985-2EF4-4793-A59D-D1BDE93599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23875" y="1066800"/>
          <a:ext cx="386329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xdr:row>
      <xdr:rowOff>47625</xdr:rowOff>
    </xdr:from>
    <xdr:to>
      <xdr:col>3</xdr:col>
      <xdr:colOff>596215</xdr:colOff>
      <xdr:row>8</xdr:row>
      <xdr:rowOff>38100</xdr:rowOff>
    </xdr:to>
    <xdr:pic>
      <xdr:nvPicPr>
        <xdr:cNvPr id="3" name="Picture 1" descr="E3 fin logos">
          <a:extLst>
            <a:ext uri="{FF2B5EF4-FFF2-40B4-BE49-F238E27FC236}">
              <a16:creationId xmlns:a16="http://schemas.microsoft.com/office/drawing/2014/main" id="{0933EFDF-7E7F-430B-955C-09335F205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23875" y="1066800"/>
          <a:ext cx="386329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23</xdr:row>
      <xdr:rowOff>0</xdr:rowOff>
    </xdr:from>
    <xdr:to>
      <xdr:col>10</xdr:col>
      <xdr:colOff>314325</xdr:colOff>
      <xdr:row>37</xdr:row>
      <xdr:rowOff>76200</xdr:rowOff>
    </xdr:to>
    <xdr:graphicFrame macro="">
      <xdr:nvGraphicFramePr>
        <xdr:cNvPr id="2" name="Chart 1">
          <a:extLst>
            <a:ext uri="{FF2B5EF4-FFF2-40B4-BE49-F238E27FC236}">
              <a16:creationId xmlns:a16="http://schemas.microsoft.com/office/drawing/2014/main" id="{D5126BFF-B3C7-4B36-A061-C5412BD2D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23</xdr:row>
      <xdr:rowOff>0</xdr:rowOff>
    </xdr:from>
    <xdr:to>
      <xdr:col>18</xdr:col>
      <xdr:colOff>47625</xdr:colOff>
      <xdr:row>37</xdr:row>
      <xdr:rowOff>76200</xdr:rowOff>
    </xdr:to>
    <xdr:graphicFrame macro="">
      <xdr:nvGraphicFramePr>
        <xdr:cNvPr id="3" name="Chart 2">
          <a:extLst>
            <a:ext uri="{FF2B5EF4-FFF2-40B4-BE49-F238E27FC236}">
              <a16:creationId xmlns:a16="http://schemas.microsoft.com/office/drawing/2014/main" id="{7E14E527-F178-4DAB-8BAE-65CCCF7D9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Allison, Jessica" id="{4B7CDD5B-768D-4734-983A-A216D296E4CF}" userId="S::jessica.allison_cpuc.ca.gov#ext#@edisonintl.onmicrosoft.com::2ece1edd-a34f-4a31-9714-4af27e1ea517" providerId="AD"/>
</personList>
</file>

<file path=xl/theme/theme1.xml><?xml version="1.0" encoding="utf-8"?>
<a:theme xmlns:a="http://schemas.openxmlformats.org/drawingml/2006/main" name="E3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9" dT="2019-09-27T21:47:19.36" personId="{4B7CDD5B-768D-4734-983A-A216D296E4CF}" id="{5B222C9B-1A4C-468A-9C5A-1FCC02116393}">
    <text xml:space="preserve">Under section 1, don’t capitalize usage (i thought it was an acronym before realizing that was silly). Can we also be more specific about whats meant by that. Something like, the full energy utilization of the measure and the full energy utilization of the baseline. I also think anyone proposing workpapers should know what the energy usage of both the base and the measure are, rather than just a savings value. It doesn’t seem like this has been enforced as a workpaper policy, but I agree with Peter that we shouldn’t be approving workpapers without it going forward.
“For gas, impacts require...” this sentence is a little awkward and could use more explanation.
</text>
  </threadedComment>
</ThreadedComments>
</file>

<file path=xl/threadedComments/threadedComment2.xml><?xml version="1.0" encoding="utf-8"?>
<ThreadedComments xmlns="http://schemas.microsoft.com/office/spreadsheetml/2018/threadedcomments" xmlns:x="http://schemas.openxmlformats.org/spreadsheetml/2006/main">
  <threadedComment ref="J11" dT="2019-09-27T21:48:49.45" personId="{4B7CDD5B-768D-4734-983A-A216D296E4CF}" id="{9E1E232F-23AF-4D59-9B87-F3627B8EFD1B}">
    <text xml:space="preserve">Can we make it clearer what to fill out for normal replacement and what to fill out for AR?
</text>
  </threadedComment>
  <threadedComment ref="J11" dT="2019-09-27T21:51:12.76" personId="{4B7CDD5B-768D-4734-983A-A216D296E4CF}" id="{7E9EE3D5-C460-4C5B-A63A-00953322C030}" parentId="{9E1E232F-23AF-4D59-9B87-F3627B8EFD1B}">
    <text xml:space="preserve">This looks good, otherwise. 
</text>
  </threadedComment>
</ThreadedComments>
</file>

<file path=xl/threadedComments/threadedComment3.xml><?xml version="1.0" encoding="utf-8"?>
<ThreadedComments xmlns="http://schemas.microsoft.com/office/spreadsheetml/2018/threadedcomments" xmlns:x="http://schemas.openxmlformats.org/spreadsheetml/2006/main">
  <threadedComment ref="P14" dT="2019-09-27T21:53:57.81" personId="{4B7CDD5B-768D-4734-983A-A216D296E4CF}" id="{419FFEA1-61B9-4FFD-BEAC-AA9EDD8C3658}">
    <text xml:space="preserve">I think there needs to be more explanation of what users do with this tab and how it flows into the calculations. I get that its for the annual factors, but that doesnt feel evident from whats said.
Do users need to alter this in anyway, or does it happen automatically? If its automatic, maybe we can do something to communicate that these values shouldnt be changed.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87"/>
  <sheetViews>
    <sheetView topLeftCell="A61" zoomScale="122" zoomScaleNormal="122" workbookViewId="0">
      <selection activeCell="L74" sqref="L74"/>
    </sheetView>
  </sheetViews>
  <sheetFormatPr defaultColWidth="9.140625" defaultRowHeight="15"/>
  <cols>
    <col min="1" max="1" width="9.140625" style="53"/>
    <col min="2" max="2" width="9.7109375" style="53" bestFit="1" customWidth="1"/>
    <col min="3" max="16384" width="9.140625" style="53"/>
  </cols>
  <sheetData>
    <row r="2" spans="2:9">
      <c r="B2" s="113" t="s">
        <v>0</v>
      </c>
      <c r="C2" s="114"/>
      <c r="D2" s="114"/>
      <c r="E2" s="114"/>
      <c r="F2" s="114"/>
      <c r="G2" s="114"/>
      <c r="H2" s="114"/>
      <c r="I2" s="115"/>
    </row>
    <row r="3" spans="2:9">
      <c r="B3" s="116"/>
      <c r="C3" s="117"/>
      <c r="D3" s="117"/>
      <c r="E3" s="117"/>
      <c r="F3" s="117"/>
      <c r="G3" s="117"/>
      <c r="H3" s="117"/>
      <c r="I3" s="118"/>
    </row>
    <row r="4" spans="2:9">
      <c r="B4" s="116"/>
      <c r="C4" s="117"/>
      <c r="D4" s="117"/>
      <c r="E4" s="117"/>
      <c r="F4" s="117"/>
      <c r="G4" s="117"/>
      <c r="H4" s="117"/>
      <c r="I4" s="118"/>
    </row>
    <row r="5" spans="2:9">
      <c r="B5" s="116"/>
      <c r="C5" s="117"/>
      <c r="D5" s="117"/>
      <c r="E5" s="117"/>
      <c r="F5" s="117"/>
      <c r="G5" s="117"/>
      <c r="H5" s="117"/>
      <c r="I5" s="118"/>
    </row>
    <row r="6" spans="2:9">
      <c r="B6" s="119"/>
      <c r="C6" s="120"/>
      <c r="D6" s="120"/>
      <c r="E6" s="120"/>
      <c r="F6" s="120"/>
      <c r="G6" s="120"/>
      <c r="H6" s="120"/>
      <c r="I6" s="121"/>
    </row>
    <row r="9" spans="2:9" ht="15.75" customHeight="1"/>
    <row r="10" spans="2:9" ht="15" customHeight="1"/>
    <row r="11" spans="2:9" ht="15" customHeight="1"/>
    <row r="12" spans="2:9" ht="15" customHeight="1"/>
    <row r="13" spans="2:9" ht="15" customHeight="1"/>
    <row r="14" spans="2:9" ht="15" customHeight="1"/>
    <row r="15" spans="2:9" ht="15" customHeight="1"/>
    <row r="16" spans="2:9" ht="15" customHeight="1"/>
    <row r="19" spans="13:13" ht="14.45"/>
    <row r="21" spans="13:13" ht="15" customHeight="1"/>
    <row r="24" spans="13:13" ht="15" customHeight="1"/>
    <row r="27" spans="13:13" ht="15" customHeight="1"/>
    <row r="30" spans="13:13" ht="15" customHeight="1"/>
    <row r="34" ht="15" customHeight="1"/>
    <row r="68" spans="2:9">
      <c r="B68" s="112" t="s">
        <v>1</v>
      </c>
      <c r="C68" s="112"/>
      <c r="D68" s="112"/>
      <c r="E68" s="112"/>
      <c r="F68" s="112"/>
      <c r="G68" s="112"/>
      <c r="H68" s="112"/>
      <c r="I68" s="112"/>
    </row>
    <row r="70" spans="2:9">
      <c r="B70" s="112" t="s">
        <v>2</v>
      </c>
      <c r="C70" s="112"/>
      <c r="D70" s="123" t="s">
        <v>3</v>
      </c>
      <c r="E70" s="123"/>
      <c r="F70" s="123"/>
      <c r="G70" s="123"/>
      <c r="H70" s="123"/>
      <c r="I70" s="123"/>
    </row>
    <row r="71" spans="2:9" ht="21" customHeight="1">
      <c r="B71" s="106">
        <v>43755</v>
      </c>
      <c r="C71" s="107"/>
      <c r="D71" s="132" t="s">
        <v>4</v>
      </c>
      <c r="E71" s="133"/>
      <c r="F71" s="133"/>
      <c r="G71" s="133"/>
      <c r="H71" s="133"/>
      <c r="I71" s="134"/>
    </row>
    <row r="72" spans="2:9" ht="23.25" customHeight="1">
      <c r="B72" s="108"/>
      <c r="C72" s="109"/>
      <c r="D72" s="135"/>
      <c r="E72" s="136"/>
      <c r="F72" s="136"/>
      <c r="G72" s="136"/>
      <c r="H72" s="136"/>
      <c r="I72" s="137"/>
    </row>
    <row r="73" spans="2:9">
      <c r="B73" s="110"/>
      <c r="C73" s="111"/>
      <c r="D73" s="138"/>
      <c r="E73" s="139"/>
      <c r="F73" s="139"/>
      <c r="G73" s="139"/>
      <c r="H73" s="139"/>
      <c r="I73" s="140"/>
    </row>
    <row r="74" spans="2:9">
      <c r="B74" s="125">
        <v>43738</v>
      </c>
      <c r="C74" s="126"/>
      <c r="D74" s="124" t="s">
        <v>5</v>
      </c>
      <c r="E74" s="124"/>
      <c r="F74" s="124"/>
      <c r="G74" s="124"/>
      <c r="H74" s="124"/>
      <c r="I74" s="124"/>
    </row>
    <row r="75" spans="2:9">
      <c r="B75" s="127"/>
      <c r="C75" s="128"/>
      <c r="D75" s="124"/>
      <c r="E75" s="124"/>
      <c r="F75" s="124"/>
      <c r="G75" s="124"/>
      <c r="H75" s="124"/>
      <c r="I75" s="124"/>
    </row>
    <row r="76" spans="2:9">
      <c r="B76" s="129"/>
      <c r="C76" s="130"/>
      <c r="D76" s="124"/>
      <c r="E76" s="124"/>
      <c r="F76" s="124"/>
      <c r="G76" s="124"/>
      <c r="H76" s="124"/>
      <c r="I76" s="124"/>
    </row>
    <row r="77" spans="2:9" ht="15" customHeight="1">
      <c r="B77" s="125">
        <v>43734</v>
      </c>
      <c r="C77" s="126"/>
      <c r="D77" s="124" t="s">
        <v>6</v>
      </c>
      <c r="E77" s="124"/>
      <c r="F77" s="124"/>
      <c r="G77" s="124"/>
      <c r="H77" s="124"/>
      <c r="I77" s="124"/>
    </row>
    <row r="78" spans="2:9">
      <c r="B78" s="127"/>
      <c r="C78" s="128"/>
      <c r="D78" s="124"/>
      <c r="E78" s="124"/>
      <c r="F78" s="124"/>
      <c r="G78" s="124"/>
      <c r="H78" s="124"/>
      <c r="I78" s="124"/>
    </row>
    <row r="79" spans="2:9">
      <c r="B79" s="129"/>
      <c r="C79" s="130"/>
      <c r="D79" s="124"/>
      <c r="E79" s="124"/>
      <c r="F79" s="124"/>
      <c r="G79" s="124"/>
      <c r="H79" s="124"/>
      <c r="I79" s="124"/>
    </row>
    <row r="80" spans="2:9" ht="15" customHeight="1">
      <c r="B80" s="131">
        <v>43733</v>
      </c>
      <c r="C80" s="131"/>
      <c r="D80" s="124" t="s">
        <v>7</v>
      </c>
      <c r="E80" s="124"/>
      <c r="F80" s="124"/>
      <c r="G80" s="124"/>
      <c r="H80" s="124"/>
      <c r="I80" s="124"/>
    </row>
    <row r="81" spans="2:9">
      <c r="B81" s="131"/>
      <c r="C81" s="131"/>
      <c r="D81" s="124"/>
      <c r="E81" s="124"/>
      <c r="F81" s="124"/>
      <c r="G81" s="124"/>
      <c r="H81" s="124"/>
      <c r="I81" s="124"/>
    </row>
    <row r="82" spans="2:9">
      <c r="B82" s="131"/>
      <c r="C82" s="131"/>
      <c r="D82" s="124"/>
      <c r="E82" s="124"/>
      <c r="F82" s="124"/>
      <c r="G82" s="124"/>
      <c r="H82" s="124"/>
      <c r="I82" s="124"/>
    </row>
    <row r="83" spans="2:9">
      <c r="B83" s="131"/>
      <c r="C83" s="131"/>
      <c r="D83" s="124"/>
      <c r="E83" s="124"/>
      <c r="F83" s="124"/>
      <c r="G83" s="124"/>
      <c r="H83" s="124"/>
      <c r="I83" s="124"/>
    </row>
    <row r="84" spans="2:9">
      <c r="B84" s="131"/>
      <c r="C84" s="131"/>
      <c r="D84" s="124"/>
      <c r="E84" s="124"/>
      <c r="F84" s="124"/>
      <c r="G84" s="124"/>
      <c r="H84" s="124"/>
      <c r="I84" s="124"/>
    </row>
    <row r="85" spans="2:9">
      <c r="B85" s="131"/>
      <c r="C85" s="131"/>
      <c r="D85" s="124"/>
      <c r="E85" s="124"/>
      <c r="F85" s="124"/>
      <c r="G85" s="124"/>
      <c r="H85" s="124"/>
      <c r="I85" s="124"/>
    </row>
    <row r="86" spans="2:9">
      <c r="B86" s="131"/>
      <c r="C86" s="131"/>
      <c r="D86" s="124"/>
      <c r="E86" s="124"/>
      <c r="F86" s="124"/>
      <c r="G86" s="124"/>
      <c r="H86" s="124"/>
      <c r="I86" s="124"/>
    </row>
    <row r="87" spans="2:9">
      <c r="B87" s="122">
        <v>43732</v>
      </c>
      <c r="C87" s="122"/>
      <c r="D87" s="123" t="s">
        <v>8</v>
      </c>
      <c r="E87" s="123"/>
      <c r="F87" s="123"/>
      <c r="G87" s="123"/>
      <c r="H87" s="123"/>
      <c r="I87" s="123"/>
    </row>
  </sheetData>
  <mergeCells count="14">
    <mergeCell ref="B71:C73"/>
    <mergeCell ref="B68:I68"/>
    <mergeCell ref="B70:C70"/>
    <mergeCell ref="B2:I6"/>
    <mergeCell ref="B87:C87"/>
    <mergeCell ref="D70:I70"/>
    <mergeCell ref="D87:I87"/>
    <mergeCell ref="D77:I79"/>
    <mergeCell ref="B77:C79"/>
    <mergeCell ref="D80:I86"/>
    <mergeCell ref="B80:C86"/>
    <mergeCell ref="B74:C76"/>
    <mergeCell ref="D74:I76"/>
    <mergeCell ref="D71:I73"/>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S72"/>
  <sheetViews>
    <sheetView tabSelected="1" zoomScaleNormal="100" workbookViewId="0">
      <selection activeCell="I56" sqref="I56"/>
    </sheetView>
  </sheetViews>
  <sheetFormatPr defaultRowHeight="15"/>
  <cols>
    <col min="3" max="3" width="30.140625" bestFit="1" customWidth="1"/>
    <col min="4" max="4" width="19.140625" bestFit="1" customWidth="1"/>
    <col min="5" max="5" width="25.28515625" bestFit="1" customWidth="1"/>
    <col min="6" max="6" width="22.28515625" bestFit="1" customWidth="1"/>
    <col min="7" max="7" width="22.140625" customWidth="1"/>
    <col min="8" max="8" width="20.7109375" customWidth="1"/>
    <col min="9" max="9" width="17.42578125" bestFit="1" customWidth="1"/>
    <col min="10" max="11" width="17.42578125" customWidth="1"/>
    <col min="12" max="12" width="12.7109375" customWidth="1"/>
    <col min="13" max="13" width="13.5703125" customWidth="1"/>
    <col min="14" max="14" width="14.42578125" customWidth="1"/>
    <col min="15" max="15" width="15.5703125" customWidth="1"/>
    <col min="16" max="16" width="17.42578125" customWidth="1"/>
    <col min="17" max="21" width="9.140625" customWidth="1"/>
  </cols>
  <sheetData>
    <row r="1" spans="1:17">
      <c r="A1" s="53"/>
      <c r="B1" s="53"/>
      <c r="C1" s="53"/>
      <c r="D1" s="53"/>
      <c r="E1" s="53"/>
      <c r="F1" s="53"/>
      <c r="G1" s="53"/>
      <c r="H1" s="53"/>
      <c r="I1" s="53"/>
      <c r="J1" s="53"/>
    </row>
    <row r="2" spans="1:17" ht="20.25" thickBot="1">
      <c r="A2" s="53"/>
      <c r="B2" s="142" t="s">
        <v>9</v>
      </c>
      <c r="C2" s="142"/>
      <c r="D2" s="53"/>
      <c r="E2" s="53"/>
      <c r="F2" s="53"/>
      <c r="G2" s="53"/>
      <c r="H2" s="53"/>
      <c r="I2" s="53"/>
      <c r="J2" s="53"/>
      <c r="L2" s="78" t="s">
        <v>10</v>
      </c>
      <c r="M2" s="78"/>
      <c r="N2" s="78"/>
      <c r="O2" s="78"/>
      <c r="P2" s="78"/>
      <c r="Q2" s="78"/>
    </row>
    <row r="3" spans="1:17" ht="15.75" thickTop="1">
      <c r="A3" s="53"/>
      <c r="B3" s="53"/>
      <c r="C3" s="53"/>
      <c r="D3" s="53"/>
      <c r="E3" s="53"/>
      <c r="F3" s="53"/>
      <c r="G3" s="53"/>
      <c r="H3" s="53"/>
      <c r="I3" s="53"/>
      <c r="J3" s="53"/>
    </row>
    <row r="4" spans="1:17">
      <c r="A4" s="53"/>
      <c r="B4" s="148" t="s">
        <v>11</v>
      </c>
      <c r="C4" s="148"/>
      <c r="D4" s="53"/>
      <c r="E4" s="53"/>
      <c r="F4" s="53"/>
      <c r="G4" s="53"/>
      <c r="H4" s="53"/>
      <c r="I4" s="53"/>
      <c r="J4" s="53"/>
    </row>
    <row r="5" spans="1:17">
      <c r="A5" s="53"/>
      <c r="B5" s="149" t="s">
        <v>12</v>
      </c>
      <c r="C5" s="150"/>
      <c r="D5" s="53"/>
      <c r="E5" s="53"/>
      <c r="F5" s="53"/>
      <c r="G5" s="53"/>
      <c r="H5" s="53"/>
      <c r="I5" s="53"/>
      <c r="J5" s="53"/>
    </row>
    <row r="6" spans="1:17">
      <c r="A6" s="53"/>
      <c r="B6" s="53"/>
      <c r="C6" s="75" t="s">
        <v>13</v>
      </c>
      <c r="D6" s="53"/>
      <c r="E6" s="53"/>
      <c r="F6" s="53"/>
      <c r="G6" s="53"/>
      <c r="H6" s="53"/>
      <c r="I6" s="53"/>
      <c r="J6" s="53"/>
    </row>
    <row r="7" spans="1:17">
      <c r="A7" s="53"/>
      <c r="B7" s="53"/>
      <c r="C7" s="76" t="s">
        <v>14</v>
      </c>
      <c r="D7" s="53"/>
      <c r="E7" s="53"/>
      <c r="F7" s="53"/>
      <c r="G7" s="53"/>
      <c r="H7" s="53"/>
      <c r="I7" s="53"/>
      <c r="J7" s="53"/>
    </row>
    <row r="8" spans="1:17">
      <c r="A8" s="53"/>
      <c r="B8" s="151" t="s">
        <v>15</v>
      </c>
      <c r="C8" s="151"/>
      <c r="D8" s="53"/>
      <c r="E8" s="53"/>
      <c r="F8" s="53"/>
      <c r="G8" s="53"/>
      <c r="H8" s="53"/>
      <c r="I8" s="53"/>
      <c r="J8" s="53"/>
    </row>
    <row r="9" spans="1:17">
      <c r="A9" s="53"/>
      <c r="B9" s="53"/>
      <c r="C9" s="53"/>
      <c r="D9" s="53"/>
      <c r="E9" s="53"/>
      <c r="F9" s="53"/>
      <c r="G9" s="53"/>
      <c r="H9" s="53"/>
      <c r="I9" s="53"/>
      <c r="J9" s="53"/>
    </row>
    <row r="10" spans="1:17">
      <c r="A10" s="53"/>
      <c r="B10" s="53"/>
      <c r="C10" s="53"/>
      <c r="D10" s="53"/>
      <c r="E10" s="53"/>
      <c r="F10" s="53"/>
      <c r="G10" s="53"/>
      <c r="H10" s="53"/>
      <c r="I10" s="53"/>
      <c r="J10" s="53"/>
    </row>
    <row r="11" spans="1:17" ht="20.25" thickBot="1">
      <c r="A11" s="53"/>
      <c r="B11" s="142" t="s">
        <v>16</v>
      </c>
      <c r="C11" s="142"/>
      <c r="D11" s="142"/>
      <c r="E11" s="142"/>
      <c r="F11" s="142"/>
      <c r="G11" s="142"/>
      <c r="H11" s="142"/>
      <c r="I11" s="53"/>
      <c r="J11" s="53"/>
    </row>
    <row r="12" spans="1:17" ht="15.75" thickTop="1">
      <c r="A12" s="53"/>
      <c r="B12" s="53"/>
      <c r="C12" s="53"/>
      <c r="D12" s="53"/>
      <c r="E12" s="53"/>
      <c r="F12" s="53"/>
      <c r="G12" s="53"/>
      <c r="H12" s="53"/>
      <c r="I12" s="53"/>
      <c r="J12" s="53"/>
    </row>
    <row r="13" spans="1:17">
      <c r="A13" s="53"/>
      <c r="B13" s="53"/>
      <c r="C13" s="152" t="s">
        <v>17</v>
      </c>
      <c r="D13" s="153"/>
      <c r="E13" s="153"/>
      <c r="F13" s="153"/>
      <c r="G13" s="153"/>
      <c r="H13" s="154"/>
      <c r="I13" s="53"/>
      <c r="J13" s="53"/>
    </row>
    <row r="14" spans="1:17" ht="30">
      <c r="A14" s="53"/>
      <c r="B14" s="83" t="s">
        <v>18</v>
      </c>
      <c r="C14" s="77" t="s">
        <v>19</v>
      </c>
      <c r="D14" s="83" t="s">
        <v>20</v>
      </c>
      <c r="E14" s="83" t="s">
        <v>21</v>
      </c>
      <c r="F14" s="83" t="s">
        <v>22</v>
      </c>
      <c r="G14" s="83" t="s">
        <v>23</v>
      </c>
      <c r="H14" s="83" t="s">
        <v>24</v>
      </c>
      <c r="I14" s="53"/>
      <c r="J14" s="53"/>
      <c r="M14" s="85" t="s">
        <v>25</v>
      </c>
      <c r="N14" s="92" t="s">
        <v>26</v>
      </c>
      <c r="O14" s="85" t="s">
        <v>27</v>
      </c>
      <c r="P14" s="85" t="s">
        <v>28</v>
      </c>
    </row>
    <row r="15" spans="1:17" ht="30">
      <c r="A15" s="53"/>
      <c r="B15" s="84">
        <v>1</v>
      </c>
      <c r="C15" s="102" t="s">
        <v>29</v>
      </c>
      <c r="D15" s="72">
        <v>1</v>
      </c>
      <c r="E15" s="72">
        <v>15</v>
      </c>
      <c r="F15" s="73">
        <v>2020</v>
      </c>
      <c r="G15" s="71" t="s">
        <v>30</v>
      </c>
      <c r="H15" s="71" t="s">
        <v>31</v>
      </c>
      <c r="I15" s="53"/>
      <c r="J15" s="53"/>
      <c r="M15" s="65" t="b">
        <f>NOT(C33=MAT_AR)</f>
        <v>1</v>
      </c>
      <c r="N15" s="61">
        <f>IF(C33=MAT_AR,D33,E15)</f>
        <v>15</v>
      </c>
      <c r="O15" s="65">
        <f>IF(C33=MAT_AR,D33,0)</f>
        <v>0</v>
      </c>
      <c r="P15" s="65" t="b">
        <f>AND(NOT(ISBLANK(C15)),NOT(ISBLANK(D15)),NOT(ISBLANK(E15)),NOT(ISBLANK(F15)),NOT(ISBLANK(G15)),NOT(ISBLANK(H15)),NOT(OR(O24:P24)),NOT(ISBLANK(C33)))</f>
        <v>1</v>
      </c>
    </row>
    <row r="16" spans="1:17" ht="30">
      <c r="A16" s="53"/>
      <c r="B16" s="84">
        <v>2</v>
      </c>
      <c r="C16" s="102" t="s">
        <v>32</v>
      </c>
      <c r="D16" s="72">
        <v>1</v>
      </c>
      <c r="E16" s="72">
        <v>15</v>
      </c>
      <c r="F16" s="73">
        <v>2020</v>
      </c>
      <c r="G16" s="71" t="s">
        <v>30</v>
      </c>
      <c r="H16" s="71" t="s">
        <v>31</v>
      </c>
      <c r="I16" s="53"/>
      <c r="J16" s="53"/>
      <c r="M16" s="65" t="b">
        <f>NOT(C34=MAT_AR)</f>
        <v>1</v>
      </c>
      <c r="N16" s="61">
        <f>IF(C34=MAT_AR,D34,E16)</f>
        <v>15</v>
      </c>
      <c r="O16" s="65">
        <f>IF(C34=MAT_AR,D34,0)</f>
        <v>0</v>
      </c>
      <c r="P16" s="65" t="b">
        <f t="shared" ref="P16:P19" si="0">AND(NOT(ISBLANK(C16)),NOT(ISBLANK(D16)),NOT(ISBLANK(E16)),NOT(ISBLANK(F16)),NOT(ISBLANK(G16)),NOT(ISBLANK(H16)),NOT(OR(O25:P25)),NOT(ISBLANK(C34)))</f>
        <v>1</v>
      </c>
    </row>
    <row r="17" spans="1:19" ht="30">
      <c r="A17" s="53"/>
      <c r="B17" s="84">
        <v>3</v>
      </c>
      <c r="C17" s="102" t="s">
        <v>33</v>
      </c>
      <c r="D17" s="72">
        <v>1</v>
      </c>
      <c r="E17" s="72">
        <v>10</v>
      </c>
      <c r="F17" s="73">
        <v>2020</v>
      </c>
      <c r="G17" s="71" t="s">
        <v>34</v>
      </c>
      <c r="H17" s="71" t="s">
        <v>31</v>
      </c>
      <c r="I17" s="53"/>
      <c r="J17" s="53"/>
      <c r="M17" s="65" t="b">
        <f>NOT(C35=MAT_AR)</f>
        <v>1</v>
      </c>
      <c r="N17" s="61">
        <f>IF(C35=MAT_AR,D35,E17)</f>
        <v>10</v>
      </c>
      <c r="O17" s="65">
        <f>IF(C35=MAT_AR,D35,0)</f>
        <v>0</v>
      </c>
      <c r="P17" s="65" t="b">
        <f t="shared" si="0"/>
        <v>1</v>
      </c>
    </row>
    <row r="18" spans="1:19" ht="30">
      <c r="A18" s="53"/>
      <c r="B18" s="84">
        <v>4</v>
      </c>
      <c r="C18" s="102" t="s">
        <v>35</v>
      </c>
      <c r="D18" s="72">
        <v>1</v>
      </c>
      <c r="E18" s="72">
        <v>12</v>
      </c>
      <c r="F18" s="73">
        <v>2020</v>
      </c>
      <c r="G18" s="71" t="s">
        <v>34</v>
      </c>
      <c r="H18" s="71" t="s">
        <v>31</v>
      </c>
      <c r="I18" s="53"/>
      <c r="J18" s="53"/>
      <c r="M18" s="65" t="b">
        <f>NOT(C36=MAT_AR)</f>
        <v>1</v>
      </c>
      <c r="N18" s="61">
        <f>IF(C36=MAT_AR,D36,E18)</f>
        <v>12</v>
      </c>
      <c r="O18" s="65">
        <f>IF(C36=MAT_AR,D36,0)</f>
        <v>0</v>
      </c>
      <c r="P18" s="65" t="b">
        <f t="shared" si="0"/>
        <v>1</v>
      </c>
    </row>
    <row r="19" spans="1:19">
      <c r="A19" s="53"/>
      <c r="B19" s="84">
        <v>5</v>
      </c>
      <c r="C19" s="63"/>
      <c r="D19" s="72"/>
      <c r="E19" s="72"/>
      <c r="F19" s="73"/>
      <c r="G19" s="71"/>
      <c r="H19" s="71"/>
      <c r="I19" s="53"/>
      <c r="J19" s="53"/>
      <c r="M19" s="65" t="b">
        <f>NOT(C37=MAT_AR)</f>
        <v>1</v>
      </c>
      <c r="N19" s="61">
        <f>IF(C37=MAT_AR,D37,E19)</f>
        <v>0</v>
      </c>
      <c r="O19" s="65">
        <f>IF(C37=MAT_AR,D37,0)</f>
        <v>0</v>
      </c>
      <c r="P19" s="65" t="b">
        <f t="shared" si="0"/>
        <v>0</v>
      </c>
    </row>
    <row r="20" spans="1:19">
      <c r="A20" s="53"/>
      <c r="B20" s="53"/>
      <c r="C20" s="53"/>
      <c r="D20" s="53"/>
      <c r="E20" s="53"/>
      <c r="F20" s="53"/>
      <c r="G20" s="60"/>
      <c r="H20" s="53"/>
      <c r="I20" s="53"/>
      <c r="J20" s="53"/>
    </row>
    <row r="21" spans="1:19">
      <c r="A21" s="53"/>
      <c r="B21" s="53"/>
      <c r="C21" s="152" t="s">
        <v>17</v>
      </c>
      <c r="D21" s="153"/>
      <c r="E21" s="153"/>
      <c r="F21" s="153"/>
      <c r="G21" s="101"/>
      <c r="H21" s="53"/>
      <c r="I21" s="53"/>
      <c r="J21" s="53"/>
    </row>
    <row r="22" spans="1:19">
      <c r="A22" s="53"/>
      <c r="B22" s="53"/>
      <c r="C22" s="147" t="s">
        <v>36</v>
      </c>
      <c r="D22" s="147"/>
      <c r="E22" s="147" t="s">
        <v>37</v>
      </c>
      <c r="F22" s="147"/>
      <c r="G22" s="53"/>
      <c r="H22" s="53"/>
      <c r="I22" s="53"/>
      <c r="J22" s="53"/>
    </row>
    <row r="23" spans="1:19" ht="30">
      <c r="A23" s="53"/>
      <c r="B23" s="83" t="s">
        <v>18</v>
      </c>
      <c r="C23" s="79" t="s">
        <v>38</v>
      </c>
      <c r="D23" s="79" t="s">
        <v>39</v>
      </c>
      <c r="E23" s="79" t="s">
        <v>38</v>
      </c>
      <c r="F23" s="79" t="s">
        <v>39</v>
      </c>
      <c r="G23" s="53"/>
      <c r="H23" s="53"/>
      <c r="I23" s="53"/>
      <c r="J23" s="53"/>
      <c r="M23" s="79" t="s">
        <v>40</v>
      </c>
      <c r="N23" s="79" t="s">
        <v>41</v>
      </c>
      <c r="O23" s="79" t="s">
        <v>42</v>
      </c>
      <c r="P23" s="79" t="s">
        <v>42</v>
      </c>
      <c r="Q23" s="62" t="s">
        <v>43</v>
      </c>
      <c r="R23" s="62" t="s">
        <v>44</v>
      </c>
      <c r="S23" s="53"/>
    </row>
    <row r="24" spans="1:19">
      <c r="A24" s="53"/>
      <c r="B24" s="84">
        <v>1</v>
      </c>
      <c r="C24" s="94">
        <v>696.15</v>
      </c>
      <c r="D24" s="94">
        <v>8.08</v>
      </c>
      <c r="E24" s="94">
        <v>715.25</v>
      </c>
      <c r="F24" s="94">
        <v>0</v>
      </c>
      <c r="G24" s="53" t="str">
        <f>IF(OR(O24:P24),"Warning: Need to enter baseline and measure consumption","")</f>
        <v/>
      </c>
      <c r="H24" s="53"/>
      <c r="I24" s="53"/>
      <c r="J24" s="53"/>
      <c r="M24" s="74" t="b">
        <f t="shared" ref="M24:N28" si="1">NOT(OR(ISBLANK(C24),ISBLANK(E24)))</f>
        <v>1</v>
      </c>
      <c r="N24" s="66" t="b">
        <f t="shared" si="1"/>
        <v>1</v>
      </c>
      <c r="O24" s="66" t="b">
        <f>AND(NOT(M24))</f>
        <v>0</v>
      </c>
      <c r="P24" s="66" t="b">
        <f>AND(NOT(N24))</f>
        <v>0</v>
      </c>
      <c r="Q24" s="98">
        <f>C24-E24</f>
        <v>-19.100000000000023</v>
      </c>
      <c r="R24" s="98">
        <f>D24-F24</f>
        <v>8.08</v>
      </c>
      <c r="S24" s="53"/>
    </row>
    <row r="25" spans="1:19">
      <c r="A25" s="53"/>
      <c r="B25" s="84">
        <v>2</v>
      </c>
      <c r="C25" s="94">
        <v>514.02</v>
      </c>
      <c r="D25" s="94">
        <v>59.98</v>
      </c>
      <c r="E25" s="94">
        <v>878.64</v>
      </c>
      <c r="F25" s="94">
        <v>0</v>
      </c>
      <c r="G25" s="53" t="str">
        <f>IF(OR(O25:P25),"Warning: Need to enter baseline and measure consumption","")</f>
        <v/>
      </c>
      <c r="H25" s="53"/>
      <c r="I25" s="53"/>
      <c r="J25" s="53"/>
      <c r="M25" s="74" t="b">
        <f t="shared" si="1"/>
        <v>1</v>
      </c>
      <c r="N25" s="66" t="b">
        <f t="shared" si="1"/>
        <v>1</v>
      </c>
      <c r="O25" s="66" t="b">
        <f t="shared" ref="O25:O28" si="2">AND(NOT(M25))</f>
        <v>0</v>
      </c>
      <c r="P25" s="66" t="b">
        <f t="shared" ref="P25:P28" si="3">AND(NOT(N25))</f>
        <v>0</v>
      </c>
      <c r="Q25" s="98">
        <f t="shared" ref="Q25:Q28" si="4">C25-E25</f>
        <v>-364.62</v>
      </c>
      <c r="R25" s="98">
        <f t="shared" ref="R25:R28" si="5">D25-F25</f>
        <v>59.98</v>
      </c>
      <c r="S25" s="53"/>
    </row>
    <row r="26" spans="1:19">
      <c r="A26" s="53"/>
      <c r="B26" s="84">
        <v>3</v>
      </c>
      <c r="C26" s="94">
        <v>0</v>
      </c>
      <c r="D26" s="94">
        <v>180.48645231515928</v>
      </c>
      <c r="E26" s="94">
        <v>1497.11</v>
      </c>
      <c r="F26" s="94">
        <v>0</v>
      </c>
      <c r="G26" s="53" t="str">
        <f>IF(OR(O26:P26),"Warning: Need to enter baseline and measure consumption","")</f>
        <v/>
      </c>
      <c r="H26" s="53"/>
      <c r="I26" s="53"/>
      <c r="J26" s="53"/>
      <c r="M26" s="74" t="b">
        <f t="shared" si="1"/>
        <v>1</v>
      </c>
      <c r="N26" s="66" t="b">
        <f t="shared" si="1"/>
        <v>1</v>
      </c>
      <c r="O26" s="66" t="b">
        <f t="shared" si="2"/>
        <v>0</v>
      </c>
      <c r="P26" s="66" t="b">
        <f t="shared" si="3"/>
        <v>0</v>
      </c>
      <c r="Q26" s="98">
        <f t="shared" si="4"/>
        <v>-1497.11</v>
      </c>
      <c r="R26" s="98">
        <f t="shared" si="5"/>
        <v>180.48645231515928</v>
      </c>
      <c r="S26" s="53"/>
    </row>
    <row r="27" spans="1:19">
      <c r="A27" s="53"/>
      <c r="B27" s="84">
        <v>4</v>
      </c>
      <c r="C27" s="94">
        <v>0</v>
      </c>
      <c r="D27" s="94">
        <v>2759.3999999999996</v>
      </c>
      <c r="E27" s="94">
        <v>2245.6</v>
      </c>
      <c r="F27" s="94">
        <v>0</v>
      </c>
      <c r="G27" s="53" t="str">
        <f>IF(OR(O27:P27),"Warning: Need to enter baseline and measure consumption","")</f>
        <v/>
      </c>
      <c r="H27" s="53"/>
      <c r="I27" s="53"/>
      <c r="J27" s="53"/>
      <c r="M27" s="74" t="b">
        <f t="shared" si="1"/>
        <v>1</v>
      </c>
      <c r="N27" s="66" t="b">
        <f t="shared" si="1"/>
        <v>1</v>
      </c>
      <c r="O27" s="66" t="b">
        <f t="shared" si="2"/>
        <v>0</v>
      </c>
      <c r="P27" s="66" t="b">
        <f t="shared" si="3"/>
        <v>0</v>
      </c>
      <c r="Q27" s="98">
        <f t="shared" si="4"/>
        <v>-2245.6</v>
      </c>
      <c r="R27" s="98">
        <f t="shared" si="5"/>
        <v>2759.3999999999996</v>
      </c>
      <c r="S27" s="53"/>
    </row>
    <row r="28" spans="1:19">
      <c r="A28" s="53"/>
      <c r="B28" s="84">
        <v>5</v>
      </c>
      <c r="C28" s="94"/>
      <c r="D28" s="94"/>
      <c r="E28" s="94"/>
      <c r="F28" s="94"/>
      <c r="G28" s="53" t="str">
        <f>IF(OR(O28:P28),"Warning: Need to enter baseline and measure consumption","")</f>
        <v>Warning: Need to enter baseline and measure consumption</v>
      </c>
      <c r="H28" s="53"/>
      <c r="I28" s="53"/>
      <c r="J28" s="53"/>
      <c r="M28" s="74" t="b">
        <f t="shared" si="1"/>
        <v>0</v>
      </c>
      <c r="N28" s="66" t="b">
        <f t="shared" si="1"/>
        <v>0</v>
      </c>
      <c r="O28" s="66" t="b">
        <f t="shared" si="2"/>
        <v>1</v>
      </c>
      <c r="P28" s="66" t="b">
        <f t="shared" si="3"/>
        <v>1</v>
      </c>
      <c r="Q28" s="98">
        <f t="shared" si="4"/>
        <v>0</v>
      </c>
      <c r="R28" s="98">
        <f t="shared" si="5"/>
        <v>0</v>
      </c>
      <c r="S28" s="53"/>
    </row>
    <row r="29" spans="1:19">
      <c r="A29" s="53"/>
      <c r="B29" s="53"/>
      <c r="C29" s="53"/>
      <c r="D29" s="53"/>
      <c r="E29" s="53"/>
      <c r="F29" s="53"/>
      <c r="G29" s="53"/>
      <c r="H29" s="53"/>
      <c r="I29" s="53"/>
      <c r="J29" s="53"/>
    </row>
    <row r="30" spans="1:19">
      <c r="A30" s="53"/>
      <c r="B30" s="53"/>
      <c r="C30" s="155" t="s">
        <v>45</v>
      </c>
      <c r="D30" s="156"/>
      <c r="E30" s="153"/>
      <c r="F30" s="153"/>
      <c r="G30" s="101"/>
      <c r="H30" s="53"/>
      <c r="I30" s="53"/>
      <c r="J30" s="53"/>
    </row>
    <row r="31" spans="1:19">
      <c r="A31" s="53"/>
      <c r="B31" s="53"/>
      <c r="C31" s="99"/>
      <c r="D31" s="100"/>
      <c r="E31" s="145" t="s">
        <v>46</v>
      </c>
      <c r="F31" s="145"/>
      <c r="G31" s="53"/>
      <c r="H31" s="53"/>
      <c r="I31" s="53"/>
      <c r="J31" s="53"/>
    </row>
    <row r="32" spans="1:19" ht="30">
      <c r="A32" s="53"/>
      <c r="B32" s="83" t="s">
        <v>18</v>
      </c>
      <c r="C32" s="83" t="s">
        <v>47</v>
      </c>
      <c r="D32" s="79" t="s">
        <v>48</v>
      </c>
      <c r="E32" s="79" t="s">
        <v>49</v>
      </c>
      <c r="F32" s="79" t="s">
        <v>50</v>
      </c>
      <c r="G32" s="53"/>
      <c r="H32" s="53"/>
      <c r="I32" s="53"/>
      <c r="J32" s="53"/>
      <c r="M32" s="79" t="s">
        <v>40</v>
      </c>
      <c r="N32" s="79" t="s">
        <v>41</v>
      </c>
      <c r="O32" s="79" t="s">
        <v>42</v>
      </c>
      <c r="P32" s="79" t="s">
        <v>42</v>
      </c>
      <c r="Q32" s="62" t="s">
        <v>43</v>
      </c>
      <c r="R32" s="62" t="s">
        <v>44</v>
      </c>
    </row>
    <row r="33" spans="1:19">
      <c r="A33" s="53"/>
      <c r="B33" s="84">
        <v>1</v>
      </c>
      <c r="C33" s="71" t="s">
        <v>51</v>
      </c>
      <c r="D33" s="72"/>
      <c r="E33" s="94"/>
      <c r="F33" s="94"/>
      <c r="G33" s="53" t="str">
        <f>IF(AND(C33=MAT_AR,OR(O33:P33)),"Warning: Need to enter baseline and measure consumption","")</f>
        <v/>
      </c>
      <c r="H33" s="53"/>
      <c r="I33" s="53"/>
      <c r="J33" s="53"/>
      <c r="M33" s="74" t="b">
        <f t="shared" ref="M33:N37" si="6">NOT(OR(ISBLANK(E24),ISBLANK(E33)))</f>
        <v>0</v>
      </c>
      <c r="N33" s="74" t="b">
        <f t="shared" si="6"/>
        <v>0</v>
      </c>
      <c r="O33" s="66" t="b">
        <f>AND(NOT(M33))</f>
        <v>1</v>
      </c>
      <c r="P33" s="66" t="b">
        <f>AND(NOT(N33))</f>
        <v>1</v>
      </c>
      <c r="Q33" s="66">
        <f>IF(NOT(OR(ISBLANK(E33),ISBLANK(E24))),E33-E24,0)</f>
        <v>0</v>
      </c>
      <c r="R33" s="66">
        <f>IF(NOT(OR(ISBLANK(F33),ISBLANK(F24))),F33-F24,0)</f>
        <v>0</v>
      </c>
    </row>
    <row r="34" spans="1:19">
      <c r="A34" s="53"/>
      <c r="B34" s="84">
        <v>2</v>
      </c>
      <c r="C34" s="71" t="s">
        <v>51</v>
      </c>
      <c r="D34" s="72"/>
      <c r="E34" s="94"/>
      <c r="F34" s="94"/>
      <c r="G34" s="53" t="str">
        <f>IF(AND(C34=MAT_AR,OR(O34:P34)),"Warning: Need to enter baseline and measure usage OR savings","")</f>
        <v/>
      </c>
      <c r="H34" s="53"/>
      <c r="I34" s="53"/>
      <c r="J34" s="53"/>
      <c r="M34" s="74" t="b">
        <f t="shared" si="6"/>
        <v>0</v>
      </c>
      <c r="N34" s="74" t="b">
        <f t="shared" si="6"/>
        <v>0</v>
      </c>
      <c r="O34" s="66" t="b">
        <f t="shared" ref="O34:O37" si="7">AND(NOT(M34))</f>
        <v>1</v>
      </c>
      <c r="P34" s="66" t="b">
        <f t="shared" ref="P34:P37" si="8">AND(NOT(N34))</f>
        <v>1</v>
      </c>
      <c r="Q34" s="66">
        <f t="shared" ref="Q34:Q37" si="9">IF(NOT(OR(ISBLANK(E34),ISBLANK(E25))),E34-E25,0)</f>
        <v>0</v>
      </c>
      <c r="R34" s="66">
        <f t="shared" ref="R34:R37" si="10">IF(NOT(OR(ISBLANK(F34),ISBLANK(F25))),F34-F25,0)</f>
        <v>0</v>
      </c>
    </row>
    <row r="35" spans="1:19">
      <c r="A35" s="53"/>
      <c r="B35" s="84">
        <v>3</v>
      </c>
      <c r="C35" s="71" t="s">
        <v>51</v>
      </c>
      <c r="D35" s="72"/>
      <c r="E35" s="94"/>
      <c r="F35" s="94"/>
      <c r="G35" s="53" t="str">
        <f>IF(AND(C35=MAT_AR,OR(O35:P35)),"Warning: Need to enter baseline and measure usage OR savings","")</f>
        <v/>
      </c>
      <c r="H35" s="53"/>
      <c r="I35" s="53"/>
      <c r="J35" s="53"/>
      <c r="M35" s="74" t="b">
        <f t="shared" si="6"/>
        <v>0</v>
      </c>
      <c r="N35" s="74" t="b">
        <f t="shared" si="6"/>
        <v>0</v>
      </c>
      <c r="O35" s="66" t="b">
        <f t="shared" si="7"/>
        <v>1</v>
      </c>
      <c r="P35" s="66" t="b">
        <f t="shared" si="8"/>
        <v>1</v>
      </c>
      <c r="Q35" s="66">
        <f t="shared" si="9"/>
        <v>0</v>
      </c>
      <c r="R35" s="66">
        <f t="shared" si="10"/>
        <v>0</v>
      </c>
    </row>
    <row r="36" spans="1:19">
      <c r="A36" s="53"/>
      <c r="B36" s="84">
        <v>4</v>
      </c>
      <c r="C36" s="71" t="s">
        <v>51</v>
      </c>
      <c r="D36" s="72"/>
      <c r="E36" s="94"/>
      <c r="F36" s="94"/>
      <c r="G36" s="53" t="str">
        <f>IF(AND(C36=MAT_AR,OR(O36:P36)),"Warning: Need to enter baseline and measure usage OR savings","")</f>
        <v/>
      </c>
      <c r="H36" s="53"/>
      <c r="I36" s="53"/>
      <c r="J36" s="53"/>
      <c r="M36" s="74" t="b">
        <f t="shared" si="6"/>
        <v>0</v>
      </c>
      <c r="N36" s="74" t="b">
        <f t="shared" si="6"/>
        <v>0</v>
      </c>
      <c r="O36" s="66" t="b">
        <f t="shared" si="7"/>
        <v>1</v>
      </c>
      <c r="P36" s="66" t="b">
        <f t="shared" si="8"/>
        <v>1</v>
      </c>
      <c r="Q36" s="66">
        <f t="shared" si="9"/>
        <v>0</v>
      </c>
      <c r="R36" s="66">
        <f t="shared" si="10"/>
        <v>0</v>
      </c>
    </row>
    <row r="37" spans="1:19">
      <c r="A37" s="53"/>
      <c r="B37" s="84">
        <v>5</v>
      </c>
      <c r="C37" s="71"/>
      <c r="D37" s="72"/>
      <c r="E37" s="94"/>
      <c r="F37" s="94"/>
      <c r="G37" s="53" t="str">
        <f>IF(AND(C37=MAT_AR,OR(O37:P37)),"Warning: Need to enter baseline and measure usage OR savings","")</f>
        <v/>
      </c>
      <c r="H37" s="53"/>
      <c r="I37" s="53"/>
      <c r="J37" s="53"/>
      <c r="M37" s="74" t="b">
        <f t="shared" si="6"/>
        <v>0</v>
      </c>
      <c r="N37" s="74" t="b">
        <f t="shared" si="6"/>
        <v>0</v>
      </c>
      <c r="O37" s="66" t="b">
        <f t="shared" si="7"/>
        <v>1</v>
      </c>
      <c r="P37" s="66" t="b">
        <f t="shared" si="8"/>
        <v>1</v>
      </c>
      <c r="Q37" s="66">
        <f t="shared" si="9"/>
        <v>0</v>
      </c>
      <c r="R37" s="66">
        <f t="shared" si="10"/>
        <v>0</v>
      </c>
    </row>
    <row r="38" spans="1:19">
      <c r="A38" s="53"/>
      <c r="B38" s="53"/>
      <c r="C38" s="53"/>
      <c r="D38" s="53"/>
      <c r="E38" s="53"/>
      <c r="F38" s="53"/>
      <c r="G38" s="53"/>
      <c r="H38" s="53"/>
      <c r="I38" s="53"/>
      <c r="J38" s="53"/>
    </row>
    <row r="39" spans="1:19">
      <c r="A39" s="53"/>
      <c r="B39" s="53"/>
      <c r="C39" s="53"/>
      <c r="D39" s="53"/>
      <c r="E39" s="53"/>
      <c r="F39" s="53"/>
      <c r="G39" s="53"/>
      <c r="H39" s="53"/>
      <c r="I39" s="53"/>
      <c r="J39" s="53"/>
    </row>
    <row r="40" spans="1:19" ht="20.25" thickBot="1">
      <c r="A40" s="53"/>
      <c r="B40" s="142" t="s">
        <v>52</v>
      </c>
      <c r="C40" s="142"/>
      <c r="D40" s="142"/>
      <c r="E40" s="142"/>
      <c r="F40" s="142"/>
      <c r="G40" s="142"/>
      <c r="H40" s="142"/>
      <c r="I40" s="53"/>
      <c r="J40" s="53"/>
    </row>
    <row r="41" spans="1:19" ht="15.75" thickTop="1">
      <c r="A41" s="53"/>
      <c r="B41" s="53"/>
      <c r="C41" s="53"/>
      <c r="D41" s="53"/>
      <c r="E41" s="53"/>
      <c r="F41" s="53"/>
      <c r="G41" s="53"/>
      <c r="H41" s="53"/>
      <c r="I41" s="53"/>
      <c r="J41" s="53"/>
    </row>
    <row r="42" spans="1:19">
      <c r="A42" s="53"/>
      <c r="B42" s="53"/>
      <c r="C42" s="144" t="s">
        <v>53</v>
      </c>
      <c r="D42" s="144"/>
      <c r="E42" s="144" t="s">
        <v>54</v>
      </c>
      <c r="F42" s="144"/>
      <c r="G42" s="146" t="s">
        <v>55</v>
      </c>
      <c r="H42" s="53"/>
      <c r="I42" s="90" t="s">
        <v>56</v>
      </c>
      <c r="J42" s="90" t="s">
        <v>57</v>
      </c>
    </row>
    <row r="43" spans="1:19" ht="45">
      <c r="A43" s="53"/>
      <c r="B43" s="82" t="s">
        <v>18</v>
      </c>
      <c r="C43" s="90" t="s">
        <v>58</v>
      </c>
      <c r="D43" s="82" t="s">
        <v>59</v>
      </c>
      <c r="E43" s="90" t="s">
        <v>60</v>
      </c>
      <c r="F43" s="82" t="s">
        <v>59</v>
      </c>
      <c r="G43" s="146"/>
      <c r="H43" s="53"/>
      <c r="I43" s="90" t="s">
        <v>61</v>
      </c>
      <c r="J43" s="90" t="s">
        <v>61</v>
      </c>
      <c r="L43" s="68" t="s">
        <v>18</v>
      </c>
      <c r="M43" s="91" t="s">
        <v>62</v>
      </c>
      <c r="N43" s="68" t="s">
        <v>63</v>
      </c>
      <c r="O43" s="68" t="s">
        <v>64</v>
      </c>
      <c r="P43" s="68" t="s">
        <v>65</v>
      </c>
      <c r="Q43" s="86" t="s">
        <v>66</v>
      </c>
      <c r="R43" s="86" t="s">
        <v>67</v>
      </c>
      <c r="S43" s="86" t="s">
        <v>68</v>
      </c>
    </row>
    <row r="44" spans="1:19">
      <c r="A44" s="53"/>
      <c r="B44" s="84">
        <v>1</v>
      </c>
      <c r="C44" s="95">
        <f t="array" ref="C44">SUMPRODUCT('Annual Factors'!$D$6:$D$36,TRANSPOSE('Time series tables'!$O26:$AS26))/10^6+Btu_therm*SUM('Time series tables'!$O32:$AS32)/10^6</f>
        <v>11.182732266398126</v>
      </c>
      <c r="D44" s="69" t="str">
        <f>IF(Q44,"PASS","FAIL")</f>
        <v>PASS</v>
      </c>
      <c r="E44" s="95">
        <f t="array" ref="E44">SUMPRODUCT('Annual Factors'!$E$6:$E$36,TRANSPOSE('Time series tables'!$O26:$AS26))/10^3+NG_metric_tonne_CO2_therm*SUM('Time series tables'!$O32:$AS32)</f>
        <v>0.59347174350617404</v>
      </c>
      <c r="F44" s="69" t="str">
        <f>IF(R44,"PASS","FAIL")</f>
        <v>PASS</v>
      </c>
      <c r="G44" s="97" t="str">
        <f>IF(S44,"Eligible","Not eligible")</f>
        <v>Eligible</v>
      </c>
      <c r="H44" s="53"/>
      <c r="I44" s="95">
        <f t="array" ref="I44">SUMPRODUCT('Annual Factors'!$E$6:$E$36,TRANSPOSE('Time series tables'!$O26:$AS26))/10^3</f>
        <v>-4.974114578994062E-2</v>
      </c>
      <c r="J44" s="95">
        <f>NG_metric_tonne_CO2_therm*SUM('Time series tables'!$O32:$AS32)</f>
        <v>0.64321288929611464</v>
      </c>
      <c r="L44" s="67">
        <v>1</v>
      </c>
      <c r="M44" s="64">
        <f>INDEX('Time series tables'!$M$26:$M$30,$B44)</f>
        <v>-286.50000000000034</v>
      </c>
      <c r="N44" s="64">
        <f>INDEX('Time series tables'!$M$32:$M$36,$B44)</f>
        <v>121.19999999999999</v>
      </c>
      <c r="O44" s="65" t="str">
        <f>_xlfn.SWITCH(G15,fuel_electricity,"kWh",fuel_natural_gas,"therms","oops")</f>
        <v>oops</v>
      </c>
      <c r="P44" s="64" t="e">
        <f>_xlfn.SWITCH(G15,fuel_electricity,C44*10^6/CCGT_Heat_Rate_btu_per_kwh,fuel_natural_gas,C44/MMBtu_per_therm)</f>
        <v>#N/A</v>
      </c>
      <c r="Q44" t="b">
        <f>(C44&gt;=0)</f>
        <v>1</v>
      </c>
      <c r="R44" t="b">
        <f>(E44&gt;=0)</f>
        <v>1</v>
      </c>
      <c r="S44" t="b">
        <f>AND(Q44,R44)</f>
        <v>1</v>
      </c>
    </row>
    <row r="45" spans="1:19">
      <c r="A45" s="53"/>
      <c r="B45" s="84">
        <v>2</v>
      </c>
      <c r="C45" s="95">
        <f t="array" ref="C45">SUMPRODUCT('Annual Factors'!$D$6:$D$36,TRANSPOSE('Time series tables'!$O27:$AS27))/10^6+Btu_therm*SUM('Time series tables'!$O33:$AS33)/10^6</f>
        <v>72.077509893931236</v>
      </c>
      <c r="D45" s="69" t="str">
        <f t="shared" ref="D45:D48" si="11">IF(Q45,"PASS","FAIL")</f>
        <v>PASS</v>
      </c>
      <c r="E45" s="95">
        <f t="array" ref="E45">SUMPRODUCT('Annual Factors'!$E$6:$E$36,TRANSPOSE('Time series tables'!$O27:$AS27))/10^3+NG_metric_tonne_CO2_therm*SUM('Time series tables'!$O33:$AS33)</f>
        <v>3.8251801478667335</v>
      </c>
      <c r="F45" s="69" t="str">
        <f t="shared" ref="F45:F48" si="12">IF(R45,"PASS","FAIL")</f>
        <v>PASS</v>
      </c>
      <c r="G45" s="69" t="str">
        <f>IF(S45,"Eligible","Not eligible")</f>
        <v>Eligible</v>
      </c>
      <c r="H45" s="53"/>
      <c r="I45" s="95">
        <f t="array" ref="I45">SUMPRODUCT('Annual Factors'!$E$6:$E$36,TRANSPOSE('Time series tables'!$O27:$AS27))/10^3</f>
        <v>-0.94956107737843554</v>
      </c>
      <c r="J45" s="95">
        <f>NG_metric_tonne_CO2_therm*SUM('Time series tables'!$O33:$AS33)</f>
        <v>4.7747412252451689</v>
      </c>
      <c r="L45" s="67">
        <v>2</v>
      </c>
      <c r="M45" s="64">
        <f>INDEX('Time series tables'!$M$26:$M$30,$B45)</f>
        <v>-5469.2999999999993</v>
      </c>
      <c r="N45" s="64">
        <f>INDEX('Time series tables'!$M$32:$M$36,$B45)</f>
        <v>899.70000000000016</v>
      </c>
      <c r="O45" s="65" t="str">
        <f>_xlfn.SWITCH(G16,"electricity","kWh","natural gas","therms","oops")</f>
        <v>oops</v>
      </c>
      <c r="P45" s="64" t="e">
        <f>_xlfn.SWITCH(G16,fuel_electricity,C45*10^6/CCGT_Heat_Rate_btu_per_kwh,fuel_natural_gas,C45/MMBtu_per_therm)</f>
        <v>#N/A</v>
      </c>
      <c r="Q45" t="b">
        <f t="shared" ref="Q45:Q48" si="13">(C45&gt;=0)</f>
        <v>1</v>
      </c>
      <c r="R45" t="b">
        <f t="shared" ref="R45:R48" si="14">(E45&gt;=0)</f>
        <v>1</v>
      </c>
      <c r="S45" t="b">
        <f t="shared" ref="S45:S48" si="15">AND(Q45,R45)</f>
        <v>1</v>
      </c>
    </row>
    <row r="46" spans="1:19">
      <c r="A46" s="53"/>
      <c r="B46" s="84">
        <v>3</v>
      </c>
      <c r="C46" s="95">
        <f t="array" ref="C46">SUMPRODUCT('Annual Factors'!$D$6:$D$36,TRANSPOSE('Time series tables'!$O28:$AS28))/10^6+Btu_therm*SUM('Time series tables'!$O34:$AS34)/10^6</f>
        <v>128.02904403257918</v>
      </c>
      <c r="D46" s="69" t="str">
        <f t="shared" si="11"/>
        <v>PASS</v>
      </c>
      <c r="E46" s="95">
        <f t="array" ref="E46">SUMPRODUCT('Annual Factors'!$E$6:$E$36,TRANSPOSE('Time series tables'!$O28:$AS28))/10^3+NG_metric_tonne_CO2_therm*SUM('Time series tables'!$O34:$AS34)</f>
        <v>6.7945487892751437</v>
      </c>
      <c r="F46" s="69" t="str">
        <f t="shared" si="12"/>
        <v>PASS</v>
      </c>
      <c r="G46" s="69" t="str">
        <f>IF(S46,"Eligible","Not eligible")</f>
        <v>Eligible</v>
      </c>
      <c r="H46" s="53"/>
      <c r="I46" s="95">
        <f t="array" ref="I46">SUMPRODUCT('Annual Factors'!$E$6:$E$36,TRANSPOSE('Time series tables'!$O28:$AS28))/10^3</f>
        <v>-2.7839340879888046</v>
      </c>
      <c r="J46" s="95">
        <f>NG_metric_tonne_CO2_therm*SUM('Time series tables'!$O34:$AS34)</f>
        <v>9.5784828772639479</v>
      </c>
      <c r="L46" s="67">
        <v>3</v>
      </c>
      <c r="M46" s="64">
        <f>INDEX('Time series tables'!$M$26:$M$30,$B46)</f>
        <v>-14971.100000000002</v>
      </c>
      <c r="N46" s="64">
        <f>INDEX('Time series tables'!$M$32:$M$36,$B46)</f>
        <v>1804.8645231515932</v>
      </c>
      <c r="O46" s="65" t="str">
        <f>_xlfn.SWITCH(G17,"electricity","kWh","natural gas","therms","oops")</f>
        <v>therms</v>
      </c>
      <c r="P46" s="64">
        <f>_xlfn.SWITCH(G17,fuel_electricity,C46*10^6/CCGT_Heat_Rate_btu_per_kwh,fuel_natural_gas,C46/MMBtu_per_therm)</f>
        <v>1280.2904403257917</v>
      </c>
      <c r="Q46" t="b">
        <f t="shared" si="13"/>
        <v>1</v>
      </c>
      <c r="R46" t="b">
        <f t="shared" si="14"/>
        <v>1</v>
      </c>
      <c r="S46" t="b">
        <f t="shared" si="15"/>
        <v>1</v>
      </c>
    </row>
    <row r="47" spans="1:19">
      <c r="A47" s="53"/>
      <c r="B47" s="84">
        <v>4</v>
      </c>
      <c r="C47" s="95">
        <f t="array" ref="C47">SUMPRODUCT('Annual Factors'!$D$6:$D$36,TRANSPOSE('Time series tables'!$O29:$AS29))/10^6+Btu_therm*SUM('Time series tables'!$O35:$AS35)/10^6</f>
        <v>3218.793024032931</v>
      </c>
      <c r="D47" s="69" t="str">
        <f t="shared" si="11"/>
        <v>PASS</v>
      </c>
      <c r="E47" s="95">
        <f t="array" ref="E47">SUMPRODUCT('Annual Factors'!$E$6:$E$36,TRANSPOSE('Time series tables'!$O29:$AS29))/10^3+NG_metric_tonne_CO2_therm*SUM('Time series tables'!$O35:$AS35)</f>
        <v>170.8225380391419</v>
      </c>
      <c r="F47" s="69" t="str">
        <f t="shared" si="12"/>
        <v>PASS</v>
      </c>
      <c r="G47" s="69" t="str">
        <f>IF(S47,"Eligible","Not eligible")</f>
        <v>Eligible</v>
      </c>
      <c r="H47" s="53"/>
      <c r="I47" s="95">
        <f t="array" ref="I47">SUMPRODUCT('Annual Factors'!$E$6:$E$36,TRANSPOSE('Time series tables'!$O29:$AS29))/10^3</f>
        <v>-4.9083180721154314</v>
      </c>
      <c r="J47" s="95">
        <f>NG_metric_tonne_CO2_therm*SUM('Time series tables'!$O35:$AS35)</f>
        <v>175.73085611125734</v>
      </c>
      <c r="L47" s="67">
        <v>4</v>
      </c>
      <c r="M47" s="64">
        <f>INDEX('Time series tables'!$M$26:$M$30,$B47)</f>
        <v>-26947.199999999993</v>
      </c>
      <c r="N47" s="64">
        <f>INDEX('Time series tables'!$M$32:$M$36,$B47)</f>
        <v>33112.800000000003</v>
      </c>
      <c r="O47" s="65" t="str">
        <f>_xlfn.SWITCH(G18,"electricity","kWh","natural gas","therms","oops")</f>
        <v>therms</v>
      </c>
      <c r="P47" s="64">
        <f>_xlfn.SWITCH(G18,fuel_electricity,C47*10^6/CCGT_Heat_Rate_btu_per_kwh,fuel_natural_gas,C47/MMBtu_per_therm)</f>
        <v>32187.930240329308</v>
      </c>
      <c r="Q47" t="b">
        <f t="shared" si="13"/>
        <v>1</v>
      </c>
      <c r="R47" t="b">
        <f t="shared" si="14"/>
        <v>1</v>
      </c>
      <c r="S47" t="b">
        <f t="shared" si="15"/>
        <v>1</v>
      </c>
    </row>
    <row r="48" spans="1:19">
      <c r="A48" s="53"/>
      <c r="B48" s="84">
        <v>5</v>
      </c>
      <c r="C48" s="95">
        <f t="array" ref="C48">SUMPRODUCT('Annual Factors'!$D$6:$D$36,TRANSPOSE('Time series tables'!$O30:$AS30))/10^6+Btu_therm*SUM('Time series tables'!$O36:$AS36)/10^6</f>
        <v>0</v>
      </c>
      <c r="D48" s="69" t="str">
        <f t="shared" si="11"/>
        <v>PASS</v>
      </c>
      <c r="E48" s="95">
        <f t="array" ref="E48">SUMPRODUCT('Annual Factors'!$E$6:$E$36,TRANSPOSE('Time series tables'!$O30:$AS30))/10^3+NG_metric_tonne_CO2_therm*SUM('Time series tables'!$O36:$AS36)</f>
        <v>0</v>
      </c>
      <c r="F48" s="69" t="str">
        <f t="shared" si="12"/>
        <v>PASS</v>
      </c>
      <c r="G48" s="69" t="str">
        <f>IF(S48,"Eligible","Not eligible")</f>
        <v>Eligible</v>
      </c>
      <c r="H48" s="53"/>
      <c r="I48" s="95">
        <f t="array" ref="I48">SUMPRODUCT('Annual Factors'!$E$6:$E$36,TRANSPOSE('Time series tables'!$O30:$AS30))/10^3</f>
        <v>0</v>
      </c>
      <c r="J48" s="95">
        <f>NG_metric_tonne_CO2_therm*SUM('Time series tables'!$O36:$AS36)</f>
        <v>0</v>
      </c>
      <c r="L48" s="67">
        <v>5</v>
      </c>
      <c r="M48" s="64">
        <f>INDEX('Time series tables'!$M$26:$M$30,$B48)</f>
        <v>0</v>
      </c>
      <c r="N48" s="64">
        <f>INDEX('Time series tables'!$M$32:$M$36,$B48)</f>
        <v>0</v>
      </c>
      <c r="O48" s="65" t="str">
        <f>_xlfn.SWITCH(G19,"electricity","kWh","natural gas","therms","oops")</f>
        <v>oops</v>
      </c>
      <c r="P48" s="64" t="e">
        <f>_xlfn.SWITCH(G19,fuel_electricity,C48*10^6/CCGT_Heat_Rate_btu_per_kwh,fuel_natural_gas,C48/MMBtu_per_therm)</f>
        <v>#N/A</v>
      </c>
      <c r="Q48" t="b">
        <f t="shared" si="13"/>
        <v>1</v>
      </c>
      <c r="R48" t="b">
        <f t="shared" si="14"/>
        <v>1</v>
      </c>
      <c r="S48" t="b">
        <f t="shared" si="15"/>
        <v>1</v>
      </c>
    </row>
    <row r="49" spans="1:14">
      <c r="A49" s="53"/>
      <c r="B49" s="53"/>
      <c r="C49" s="53"/>
      <c r="D49" s="53"/>
      <c r="E49" s="53"/>
      <c r="F49" s="53"/>
      <c r="G49" s="53"/>
      <c r="H49" s="53"/>
      <c r="I49" s="53"/>
      <c r="J49" s="53"/>
    </row>
    <row r="50" spans="1:14">
      <c r="A50" s="53"/>
      <c r="B50" s="53"/>
      <c r="C50" s="53"/>
      <c r="D50" s="53"/>
      <c r="E50" s="53"/>
      <c r="F50" s="53"/>
      <c r="G50" s="53"/>
      <c r="H50" s="53"/>
      <c r="I50" s="53"/>
      <c r="J50" s="53"/>
    </row>
    <row r="51" spans="1:14" ht="20.25" thickBot="1">
      <c r="A51" s="53"/>
      <c r="B51" s="142" t="s">
        <v>69</v>
      </c>
      <c r="C51" s="142"/>
      <c r="D51" s="142"/>
      <c r="E51" s="142"/>
      <c r="F51" s="142"/>
      <c r="G51" s="142"/>
      <c r="H51" s="142"/>
      <c r="I51" s="53"/>
      <c r="J51" s="53"/>
    </row>
    <row r="52" spans="1:14" ht="15.75" thickTop="1">
      <c r="A52" s="53"/>
      <c r="B52" s="53"/>
      <c r="C52" s="53"/>
      <c r="D52" s="53"/>
      <c r="E52" s="53"/>
      <c r="F52" s="53"/>
      <c r="G52" s="53"/>
      <c r="H52" s="53"/>
      <c r="I52" s="53"/>
      <c r="J52" s="53"/>
    </row>
    <row r="53" spans="1:14">
      <c r="A53" s="53"/>
      <c r="B53" s="143" t="s">
        <v>70</v>
      </c>
      <c r="C53" s="143"/>
      <c r="D53" s="143"/>
      <c r="E53" s="143"/>
      <c r="F53" s="143"/>
      <c r="G53" s="143"/>
      <c r="H53" s="143"/>
      <c r="I53" s="53"/>
      <c r="J53" s="53"/>
    </row>
    <row r="54" spans="1:14">
      <c r="A54" s="53"/>
      <c r="B54" s="53"/>
      <c r="C54" s="53"/>
      <c r="D54" s="53"/>
      <c r="E54" s="53"/>
      <c r="F54" s="53"/>
      <c r="G54" s="53"/>
      <c r="H54" s="53"/>
      <c r="I54" s="53"/>
      <c r="J54" s="53"/>
    </row>
    <row r="55" spans="1:14" ht="30">
      <c r="A55" s="53"/>
      <c r="B55" s="80" t="s">
        <v>18</v>
      </c>
      <c r="C55" s="81" t="s">
        <v>71</v>
      </c>
      <c r="D55" s="80" t="s">
        <v>72</v>
      </c>
      <c r="E55" s="81" t="s">
        <v>73</v>
      </c>
      <c r="F55" s="81" t="s">
        <v>74</v>
      </c>
      <c r="G55" s="81" t="s">
        <v>75</v>
      </c>
      <c r="H55" s="81" t="s">
        <v>76</v>
      </c>
      <c r="I55" s="53"/>
      <c r="J55" s="53"/>
      <c r="L55" s="68" t="s">
        <v>18</v>
      </c>
      <c r="M55" s="89" t="s">
        <v>77</v>
      </c>
      <c r="N55" s="89" t="s">
        <v>78</v>
      </c>
    </row>
    <row r="56" spans="1:14">
      <c r="A56" s="53"/>
      <c r="B56" s="84">
        <v>1</v>
      </c>
      <c r="C56" s="95">
        <f>(Btu_per_kWh*M56+Btu_therm*N56)/10^6</f>
        <v>0.74281169999999996</v>
      </c>
      <c r="D56" s="69" t="str">
        <f>VLOOKUP(H15,Dropdown!$C$3:$D$4,2,FALSE)</f>
        <v>kWh</v>
      </c>
      <c r="E56" s="96">
        <f>IF($H15=fuel_electricity,$C56*10^6/Btu_per_kWh,0)</f>
        <v>217.64186932317608</v>
      </c>
      <c r="F56" s="96" t="str">
        <f>IF($H15=fuel_natural_gas,$C56/MMBtu_per_therm,"N/A")</f>
        <v>N/A</v>
      </c>
      <c r="G56" s="96" t="str">
        <f>IF($H15=fuel_electricity,"N/A",C24)</f>
        <v>N/A</v>
      </c>
      <c r="H56" s="96">
        <f>IF($H15=fuel_electricity,C56*10^6/Btu_therm,"N/A")</f>
        <v>7.4281169999999994</v>
      </c>
      <c r="I56" s="53"/>
      <c r="J56" s="53"/>
      <c r="L56" s="67">
        <v>1</v>
      </c>
      <c r="M56" s="88">
        <f>'Time series tables'!H26</f>
        <v>-19.100000000000023</v>
      </c>
      <c r="N56" s="87">
        <f>'Time series tables'!H32</f>
        <v>8.08</v>
      </c>
    </row>
    <row r="57" spans="1:14">
      <c r="A57" s="53"/>
      <c r="B57" s="84">
        <v>2</v>
      </c>
      <c r="C57" s="95">
        <f>(Btu_per_kWh*M57+Btu_therm*N57)/10^6</f>
        <v>4.7535519399999995</v>
      </c>
      <c r="D57" s="69" t="str">
        <f>VLOOKUP(H16,Dropdown!$C$3:$D$4,2,FALSE)</f>
        <v>kWh</v>
      </c>
      <c r="E57" s="96">
        <f>IF($H16=fuel_electricity,$C57*10^6/Btu_per_kWh,0)</f>
        <v>1392.7781834163491</v>
      </c>
      <c r="F57" s="96" t="str">
        <f>IF($H16=fuel_natural_gas,$C57/MMBtu_per_therm,"N/A")</f>
        <v>N/A</v>
      </c>
      <c r="G57" s="96" t="str">
        <f>IF($H16=fuel_electricity,"N/A",C25)</f>
        <v>N/A</v>
      </c>
      <c r="H57" s="96">
        <f>IF($H16=fuel_electricity,C57*10^6/Btu_therm,"N/A")</f>
        <v>47.535519399999998</v>
      </c>
      <c r="I57" s="53"/>
      <c r="J57" s="53"/>
      <c r="L57" s="67">
        <v>2</v>
      </c>
      <c r="M57" s="88">
        <f>'Time series tables'!H27</f>
        <v>-364.62</v>
      </c>
      <c r="N57" s="87">
        <f>'Time series tables'!H33</f>
        <v>59.98</v>
      </c>
    </row>
    <row r="58" spans="1:14">
      <c r="A58" s="53"/>
      <c r="B58" s="84">
        <v>3</v>
      </c>
      <c r="C58" s="95">
        <f>(Btu_per_kWh*M58+Btu_therm*N58)/10^6</f>
        <v>12.939008801515929</v>
      </c>
      <c r="D58" s="69" t="str">
        <f>VLOOKUP(H17,Dropdown!$C$3:$D$4,2,FALSE)</f>
        <v>kWh</v>
      </c>
      <c r="E58" s="96">
        <f>IF($H17=fuel_electricity,$C58*10^6/Btu_per_kWh,0)</f>
        <v>3791.0954589850367</v>
      </c>
      <c r="F58" s="96" t="str">
        <f>IF($H17=fuel_natural_gas,$C58/MMBtu_per_therm,"N/A")</f>
        <v>N/A</v>
      </c>
      <c r="G58" s="96" t="str">
        <f>IF($H17=fuel_electricity,"N/A",C26)</f>
        <v>N/A</v>
      </c>
      <c r="H58" s="96">
        <f>IF($H17=fuel_electricity,C58*10^6/Btu_therm,"N/A")</f>
        <v>129.39008801515931</v>
      </c>
      <c r="I58" s="53"/>
      <c r="J58" s="53"/>
      <c r="L58" s="67">
        <v>3</v>
      </c>
      <c r="M58" s="88">
        <f>'Time series tables'!H28</f>
        <v>-1497.11</v>
      </c>
      <c r="N58" s="87">
        <f>'Time series tables'!H34</f>
        <v>180.48645231515928</v>
      </c>
    </row>
    <row r="59" spans="1:14">
      <c r="A59" s="53"/>
      <c r="B59" s="84">
        <v>4</v>
      </c>
      <c r="C59" s="95">
        <f>(Btu_per_kWh*M59+Btu_therm*N59)/10^6</f>
        <v>268.2757671999999</v>
      </c>
      <c r="D59" s="69" t="str">
        <f>VLOOKUP(H18,Dropdown!$C$3:$D$4,2,FALSE)</f>
        <v>kWh</v>
      </c>
      <c r="E59" s="96">
        <f>IF($H18=fuel_electricity,$C59*10^6/Btu_per_kWh,0)</f>
        <v>78604.092352768799</v>
      </c>
      <c r="F59" s="96" t="str">
        <f>IF($H18=fuel_natural_gas,$C59/MMBtu_per_therm,"N/A")</f>
        <v>N/A</v>
      </c>
      <c r="G59" s="96" t="str">
        <f>IF($H18=fuel_electricity,"N/A",C27)</f>
        <v>N/A</v>
      </c>
      <c r="H59" s="96">
        <f>IF($H18=fuel_electricity,C59*10^6/Btu_therm,"N/A")</f>
        <v>2682.7576719999988</v>
      </c>
      <c r="I59" s="53"/>
      <c r="J59" s="53"/>
      <c r="L59" s="67">
        <v>4</v>
      </c>
      <c r="M59" s="88">
        <f>'Time series tables'!H29</f>
        <v>-2245.6</v>
      </c>
      <c r="N59" s="87">
        <f>'Time series tables'!H35</f>
        <v>2759.3999999999996</v>
      </c>
    </row>
    <row r="60" spans="1:14">
      <c r="A60" s="53"/>
      <c r="B60" s="84">
        <v>5</v>
      </c>
      <c r="C60" s="95">
        <f>(Btu_per_kWh*M60+Btu_therm*N60)/10^6</f>
        <v>0</v>
      </c>
      <c r="D60" s="69" t="e">
        <f>VLOOKUP(H19,Dropdown!$C$3:$D$4,2,FALSE)</f>
        <v>#N/A</v>
      </c>
      <c r="E60" s="96">
        <f>IF($H19=fuel_electricity,$C60*10^6/Btu_per_kWh,0)</f>
        <v>0</v>
      </c>
      <c r="F60" s="96" t="str">
        <f>IF($H19=fuel_natural_gas,$C60/MMBtu_per_therm,"N/A")</f>
        <v>N/A</v>
      </c>
      <c r="G60" s="96">
        <f>IF($H19=fuel_electricity,"N/A",C28)</f>
        <v>0</v>
      </c>
      <c r="H60" s="96" t="str">
        <f>IF($H19=fuel_electricity,C60*10^6/Btu_therm,"N/A")</f>
        <v>N/A</v>
      </c>
      <c r="I60" s="53"/>
      <c r="J60" s="53"/>
      <c r="L60" s="67">
        <v>5</v>
      </c>
      <c r="M60" s="88">
        <f>'Time series tables'!H30</f>
        <v>0</v>
      </c>
      <c r="N60" s="87">
        <f>'Time series tables'!H36</f>
        <v>0</v>
      </c>
    </row>
    <row r="61" spans="1:14">
      <c r="A61" s="53"/>
      <c r="B61" s="53"/>
      <c r="C61" s="53"/>
      <c r="D61" s="53"/>
      <c r="E61" s="53"/>
      <c r="F61" s="53"/>
      <c r="G61" s="53"/>
      <c r="H61" s="53"/>
      <c r="I61" s="53"/>
      <c r="J61" s="53"/>
    </row>
    <row r="62" spans="1:14">
      <c r="A62" s="53"/>
      <c r="B62" s="53"/>
      <c r="C62" s="141" t="s">
        <v>79</v>
      </c>
      <c r="D62" s="141"/>
      <c r="E62" s="141"/>
      <c r="F62" s="141"/>
      <c r="G62" s="141"/>
      <c r="H62" s="141"/>
      <c r="I62" s="141"/>
      <c r="J62" s="53"/>
    </row>
    <row r="63" spans="1:14" ht="30">
      <c r="A63" s="53"/>
      <c r="B63" s="81" t="s">
        <v>80</v>
      </c>
      <c r="C63" s="81" t="s">
        <v>81</v>
      </c>
      <c r="D63" s="81" t="s">
        <v>82</v>
      </c>
      <c r="E63" s="81" t="s">
        <v>83</v>
      </c>
      <c r="F63" s="81" t="s">
        <v>84</v>
      </c>
      <c r="G63" s="81" t="s">
        <v>85</v>
      </c>
      <c r="H63" s="81" t="s">
        <v>86</v>
      </c>
      <c r="I63" s="81" t="s">
        <v>87</v>
      </c>
      <c r="J63" s="53"/>
    </row>
    <row r="64" spans="1:14">
      <c r="A64" s="53"/>
      <c r="B64" s="84">
        <v>1</v>
      </c>
      <c r="C64" s="70">
        <f>D15</f>
        <v>1</v>
      </c>
      <c r="D64" s="96">
        <f t="shared" ref="D64:E68" si="16">IF($S44,Q24,0)</f>
        <v>-19.100000000000023</v>
      </c>
      <c r="E64" s="96">
        <f t="shared" si="16"/>
        <v>8.08</v>
      </c>
      <c r="F64" s="96">
        <f t="shared" ref="F64:G68" si="17">IF($S44,Q33,0)</f>
        <v>0</v>
      </c>
      <c r="G64" s="96">
        <f t="shared" si="17"/>
        <v>0</v>
      </c>
      <c r="H64" s="70">
        <f>E15</f>
        <v>15</v>
      </c>
      <c r="I64" s="70">
        <f>O15</f>
        <v>0</v>
      </c>
      <c r="J64" s="53"/>
    </row>
    <row r="65" spans="1:10">
      <c r="A65" s="53"/>
      <c r="B65" s="84">
        <v>2</v>
      </c>
      <c r="C65" s="70">
        <f t="shared" ref="C65:C68" si="18">D16</f>
        <v>1</v>
      </c>
      <c r="D65" s="96">
        <f t="shared" si="16"/>
        <v>-364.62</v>
      </c>
      <c r="E65" s="96">
        <f t="shared" si="16"/>
        <v>59.98</v>
      </c>
      <c r="F65" s="96">
        <f t="shared" si="17"/>
        <v>0</v>
      </c>
      <c r="G65" s="96">
        <f t="shared" si="17"/>
        <v>0</v>
      </c>
      <c r="H65" s="70">
        <f t="shared" ref="H65:H68" si="19">E16</f>
        <v>15</v>
      </c>
      <c r="I65" s="70">
        <f t="shared" ref="I65:I68" si="20">O16</f>
        <v>0</v>
      </c>
      <c r="J65" s="53"/>
    </row>
    <row r="66" spans="1:10">
      <c r="A66" s="53"/>
      <c r="B66" s="84">
        <v>3</v>
      </c>
      <c r="C66" s="70">
        <f t="shared" si="18"/>
        <v>1</v>
      </c>
      <c r="D66" s="96">
        <f t="shared" si="16"/>
        <v>-1497.11</v>
      </c>
      <c r="E66" s="96">
        <f t="shared" si="16"/>
        <v>180.48645231515928</v>
      </c>
      <c r="F66" s="96">
        <f t="shared" si="17"/>
        <v>0</v>
      </c>
      <c r="G66" s="96">
        <f t="shared" si="17"/>
        <v>0</v>
      </c>
      <c r="H66" s="70">
        <f t="shared" si="19"/>
        <v>10</v>
      </c>
      <c r="I66" s="70">
        <f t="shared" si="20"/>
        <v>0</v>
      </c>
      <c r="J66" s="53"/>
    </row>
    <row r="67" spans="1:10">
      <c r="A67" s="53"/>
      <c r="B67" s="84">
        <v>4</v>
      </c>
      <c r="C67" s="70">
        <f t="shared" si="18"/>
        <v>1</v>
      </c>
      <c r="D67" s="96">
        <f t="shared" si="16"/>
        <v>-2245.6</v>
      </c>
      <c r="E67" s="96">
        <f t="shared" si="16"/>
        <v>2759.3999999999996</v>
      </c>
      <c r="F67" s="96">
        <f t="shared" si="17"/>
        <v>0</v>
      </c>
      <c r="G67" s="96">
        <f t="shared" si="17"/>
        <v>0</v>
      </c>
      <c r="H67" s="70">
        <f t="shared" si="19"/>
        <v>12</v>
      </c>
      <c r="I67" s="70">
        <f t="shared" si="20"/>
        <v>0</v>
      </c>
      <c r="J67" s="53"/>
    </row>
    <row r="68" spans="1:10">
      <c r="A68" s="53"/>
      <c r="B68" s="84">
        <v>5</v>
      </c>
      <c r="C68" s="70">
        <f t="shared" si="18"/>
        <v>0</v>
      </c>
      <c r="D68" s="96">
        <f t="shared" si="16"/>
        <v>0</v>
      </c>
      <c r="E68" s="96">
        <f t="shared" si="16"/>
        <v>0</v>
      </c>
      <c r="F68" s="96">
        <f t="shared" si="17"/>
        <v>0</v>
      </c>
      <c r="G68" s="96">
        <f t="shared" si="17"/>
        <v>0</v>
      </c>
      <c r="H68" s="70">
        <f t="shared" si="19"/>
        <v>0</v>
      </c>
      <c r="I68" s="70">
        <f t="shared" si="20"/>
        <v>0</v>
      </c>
      <c r="J68" s="53"/>
    </row>
    <row r="69" spans="1:10">
      <c r="A69" s="53"/>
      <c r="B69" s="53"/>
      <c r="C69" s="53"/>
      <c r="D69" s="53"/>
      <c r="E69" s="53"/>
      <c r="F69" s="53"/>
      <c r="G69" s="53"/>
      <c r="H69" s="53"/>
      <c r="I69" s="53"/>
      <c r="J69" s="53"/>
    </row>
    <row r="70" spans="1:10">
      <c r="A70" s="53"/>
      <c r="B70" s="53"/>
      <c r="C70" s="53"/>
      <c r="D70" s="53"/>
      <c r="E70" s="53"/>
      <c r="F70" s="53"/>
      <c r="G70" s="53"/>
      <c r="H70" s="53"/>
      <c r="I70" s="53"/>
      <c r="J70" s="53"/>
    </row>
    <row r="71" spans="1:10">
      <c r="A71" s="53"/>
      <c r="B71" s="53"/>
      <c r="C71" s="53"/>
      <c r="D71" s="53"/>
      <c r="E71" s="53"/>
      <c r="F71" s="53"/>
      <c r="G71" s="53"/>
      <c r="H71" s="53"/>
      <c r="I71" s="53"/>
      <c r="J71" s="53"/>
    </row>
    <row r="72" spans="1:10">
      <c r="A72" s="53"/>
      <c r="B72" s="53"/>
      <c r="C72" s="53"/>
      <c r="D72" s="53"/>
      <c r="E72" s="53"/>
      <c r="F72" s="53"/>
      <c r="G72" s="53"/>
      <c r="H72" s="53"/>
      <c r="I72" s="53"/>
      <c r="J72" s="53"/>
    </row>
  </sheetData>
  <mergeCells count="18">
    <mergeCell ref="E31:F31"/>
    <mergeCell ref="G42:G43"/>
    <mergeCell ref="B2:C2"/>
    <mergeCell ref="B11:H11"/>
    <mergeCell ref="C22:D22"/>
    <mergeCell ref="E22:F22"/>
    <mergeCell ref="B4:C4"/>
    <mergeCell ref="B5:C5"/>
    <mergeCell ref="B8:C8"/>
    <mergeCell ref="C13:H13"/>
    <mergeCell ref="C21:F21"/>
    <mergeCell ref="C30:F30"/>
    <mergeCell ref="C62:I62"/>
    <mergeCell ref="B40:H40"/>
    <mergeCell ref="B53:H53"/>
    <mergeCell ref="C42:D42"/>
    <mergeCell ref="E42:F42"/>
    <mergeCell ref="B51:H51"/>
  </mergeCells>
  <conditionalFormatting sqref="D33:F37">
    <cfRule type="expression" dxfId="7" priority="8" stopIfTrue="1">
      <formula>$M15</formula>
    </cfRule>
  </conditionalFormatting>
  <conditionalFormatting sqref="H15:H19">
    <cfRule type="expression" dxfId="6" priority="7">
      <formula>($G15=$H15)</formula>
    </cfRule>
  </conditionalFormatting>
  <conditionalFormatting sqref="C44:G48">
    <cfRule type="expression" dxfId="5" priority="6">
      <formula>NOT($P15)</formula>
    </cfRule>
  </conditionalFormatting>
  <conditionalFormatting sqref="C56:F60">
    <cfRule type="expression" dxfId="4" priority="5">
      <formula>NOT($P15)</formula>
    </cfRule>
  </conditionalFormatting>
  <conditionalFormatting sqref="C64:I68">
    <cfRule type="expression" dxfId="3" priority="4">
      <formula>NOT($P15)</formula>
    </cfRule>
  </conditionalFormatting>
  <conditionalFormatting sqref="I44:J48">
    <cfRule type="expression" dxfId="2" priority="3">
      <formula>NOT($P15)</formula>
    </cfRule>
  </conditionalFormatting>
  <conditionalFormatting sqref="G56:G60">
    <cfRule type="expression" dxfId="1" priority="2">
      <formula>NOT($P15)</formula>
    </cfRule>
  </conditionalFormatting>
  <conditionalFormatting sqref="H56:H60">
    <cfRule type="expression" dxfId="0" priority="1">
      <formula>NOT($P15)</formula>
    </cfRule>
  </conditionalFormatting>
  <dataValidations count="2">
    <dataValidation type="list" allowBlank="1" showInputMessage="1" showErrorMessage="1" sqref="C33:C37" xr:uid="{00000000-0002-0000-0100-000000000000}">
      <formula1>dropdown_MAT</formula1>
    </dataValidation>
    <dataValidation type="list" allowBlank="1" showInputMessage="1" showErrorMessage="1" sqref="G15:H19" xr:uid="{00000000-0002-0000-0100-000001000000}">
      <formula1>dropdown_Fuel</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5"/>
  <sheetViews>
    <sheetView workbookViewId="0">
      <selection activeCell="G15" sqref="G15"/>
    </sheetView>
  </sheetViews>
  <sheetFormatPr defaultRowHeight="15"/>
  <cols>
    <col min="2" max="2" width="15.28515625" bestFit="1" customWidth="1"/>
    <col min="3" max="3" width="15.140625" bestFit="1" customWidth="1"/>
  </cols>
  <sheetData>
    <row r="2" spans="2:4">
      <c r="B2" t="s">
        <v>88</v>
      </c>
      <c r="C2" t="s">
        <v>89</v>
      </c>
      <c r="D2" t="s">
        <v>90</v>
      </c>
    </row>
    <row r="3" spans="2:4">
      <c r="B3" t="s">
        <v>51</v>
      </c>
      <c r="C3" t="s">
        <v>34</v>
      </c>
      <c r="D3" t="s">
        <v>91</v>
      </c>
    </row>
    <row r="4" spans="2:4">
      <c r="B4" t="s">
        <v>92</v>
      </c>
      <c r="C4" t="s">
        <v>31</v>
      </c>
      <c r="D4" t="s">
        <v>93</v>
      </c>
    </row>
    <row r="5" spans="2:4">
      <c r="C5"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S36"/>
  <sheetViews>
    <sheetView workbookViewId="0">
      <selection activeCell="A26" sqref="A26:A32"/>
    </sheetView>
  </sheetViews>
  <sheetFormatPr defaultRowHeight="15"/>
  <cols>
    <col min="2" max="2" width="8.28515625" bestFit="1" customWidth="1"/>
    <col min="3" max="3" width="9.28515625" bestFit="1" customWidth="1"/>
    <col min="4" max="4" width="27.42578125" bestFit="1" customWidth="1"/>
    <col min="5" max="5" width="13.42578125" bestFit="1" customWidth="1"/>
    <col min="6" max="6" width="17.7109375" bestFit="1" customWidth="1"/>
    <col min="7" max="9" width="7" customWidth="1"/>
    <col min="10" max="10" width="13.28515625" customWidth="1"/>
    <col min="11" max="11" width="12" bestFit="1" customWidth="1"/>
    <col min="12" max="12" width="10.28515625" bestFit="1" customWidth="1"/>
    <col min="13" max="13" width="18.5703125" customWidth="1"/>
    <col min="14" max="14" width="5" bestFit="1" customWidth="1"/>
  </cols>
  <sheetData>
    <row r="1" spans="2:45">
      <c r="B1" t="s">
        <v>94</v>
      </c>
    </row>
    <row r="2" spans="2:45">
      <c r="B2" t="s">
        <v>95</v>
      </c>
    </row>
    <row r="3" spans="2:45">
      <c r="B3" t="s">
        <v>96</v>
      </c>
    </row>
    <row r="5" spans="2:45">
      <c r="B5" t="s">
        <v>97</v>
      </c>
      <c r="C5" s="104" t="s">
        <v>98</v>
      </c>
      <c r="D5" s="158" t="s">
        <v>99</v>
      </c>
      <c r="E5" s="158"/>
      <c r="F5" s="158"/>
      <c r="G5" s="158"/>
      <c r="H5" s="158"/>
      <c r="I5" s="158"/>
      <c r="J5" s="158"/>
      <c r="K5" s="158"/>
      <c r="L5" s="158"/>
      <c r="M5" s="158"/>
    </row>
    <row r="6" spans="2:45">
      <c r="C6" s="105" t="s">
        <v>100</v>
      </c>
      <c r="D6" s="159" t="s">
        <v>101</v>
      </c>
      <c r="E6" s="159"/>
      <c r="F6" s="159"/>
      <c r="G6" s="159"/>
      <c r="H6" s="159"/>
      <c r="I6" s="159"/>
      <c r="J6" s="159"/>
      <c r="K6" s="159"/>
      <c r="L6" s="159"/>
      <c r="M6" s="159"/>
    </row>
    <row r="7" spans="2:45">
      <c r="C7" s="105" t="s">
        <v>102</v>
      </c>
      <c r="D7" s="159" t="s">
        <v>103</v>
      </c>
      <c r="E7" s="159"/>
      <c r="F7" s="159"/>
      <c r="G7" s="159"/>
      <c r="H7" s="159"/>
      <c r="I7" s="159"/>
      <c r="J7" s="159"/>
      <c r="K7" s="159"/>
      <c r="L7" s="159"/>
      <c r="M7" s="159"/>
    </row>
    <row r="8" spans="2:45">
      <c r="C8" s="105" t="s">
        <v>93</v>
      </c>
      <c r="D8" s="159" t="s">
        <v>104</v>
      </c>
      <c r="E8" s="159"/>
      <c r="F8" s="159"/>
      <c r="G8" s="159"/>
      <c r="H8" s="159"/>
      <c r="I8" s="159"/>
      <c r="J8" s="159"/>
      <c r="K8" s="159"/>
      <c r="L8" s="159"/>
      <c r="M8" s="159"/>
    </row>
    <row r="9" spans="2:45">
      <c r="C9" s="105" t="s">
        <v>105</v>
      </c>
      <c r="D9" s="159" t="s">
        <v>106</v>
      </c>
      <c r="E9" s="159"/>
      <c r="F9" s="159"/>
      <c r="G9" s="159"/>
      <c r="H9" s="159"/>
      <c r="I9" s="159"/>
      <c r="J9" s="159"/>
      <c r="K9" s="159"/>
      <c r="L9" s="159"/>
      <c r="M9" s="159"/>
    </row>
    <row r="10" spans="2:45">
      <c r="C10" s="105"/>
      <c r="D10" s="105"/>
      <c r="E10" s="105"/>
      <c r="F10" s="105"/>
      <c r="G10" s="105"/>
      <c r="H10" s="105"/>
      <c r="I10" s="105"/>
      <c r="J10" s="105"/>
      <c r="K10" s="105"/>
      <c r="L10" s="105"/>
      <c r="M10" s="105"/>
    </row>
    <row r="11" spans="2:45">
      <c r="O11" s="42"/>
    </row>
    <row r="12" spans="2:45">
      <c r="C12" s="56"/>
      <c r="D12" s="56"/>
      <c r="E12" s="56"/>
      <c r="F12" s="56"/>
      <c r="G12" s="56"/>
      <c r="H12" s="157" t="s">
        <v>107</v>
      </c>
      <c r="I12" s="157"/>
      <c r="J12" s="56"/>
      <c r="K12" s="56"/>
      <c r="L12" s="56"/>
      <c r="M12" s="56"/>
      <c r="N12" s="54" t="s">
        <v>108</v>
      </c>
      <c r="O12" s="54">
        <v>2019</v>
      </c>
      <c r="P12" s="54">
        <v>2020</v>
      </c>
      <c r="Q12" s="54">
        <v>2021</v>
      </c>
      <c r="R12" s="54">
        <v>2022</v>
      </c>
      <c r="S12" s="54">
        <v>2023</v>
      </c>
      <c r="T12" s="54">
        <v>2024</v>
      </c>
      <c r="U12" s="54">
        <v>2025</v>
      </c>
      <c r="V12" s="54">
        <v>2026</v>
      </c>
      <c r="W12" s="54">
        <v>2027</v>
      </c>
      <c r="X12" s="54">
        <v>2028</v>
      </c>
      <c r="Y12" s="54">
        <v>2029</v>
      </c>
      <c r="Z12" s="54">
        <v>2030</v>
      </c>
      <c r="AA12" s="54">
        <v>2031</v>
      </c>
      <c r="AB12" s="54">
        <v>2032</v>
      </c>
      <c r="AC12" s="54">
        <v>2033</v>
      </c>
      <c r="AD12" s="54">
        <v>2034</v>
      </c>
      <c r="AE12" s="54">
        <v>2035</v>
      </c>
      <c r="AF12" s="54">
        <v>2036</v>
      </c>
      <c r="AG12" s="54">
        <v>2037</v>
      </c>
      <c r="AH12" s="54">
        <v>2038</v>
      </c>
      <c r="AI12" s="54">
        <v>2039</v>
      </c>
      <c r="AJ12" s="54">
        <v>2040</v>
      </c>
      <c r="AK12" s="54">
        <v>2041</v>
      </c>
      <c r="AL12" s="54">
        <v>2042</v>
      </c>
      <c r="AM12" s="54">
        <v>2043</v>
      </c>
      <c r="AN12" s="54">
        <v>2044</v>
      </c>
      <c r="AO12" s="54">
        <v>2045</v>
      </c>
      <c r="AP12" s="54">
        <v>2046</v>
      </c>
      <c r="AQ12" s="54">
        <v>2047</v>
      </c>
      <c r="AR12" s="54">
        <v>2048</v>
      </c>
      <c r="AS12" s="54">
        <v>2049</v>
      </c>
    </row>
    <row r="13" spans="2:45">
      <c r="B13" s="54" t="s">
        <v>18</v>
      </c>
      <c r="C13" s="54" t="s">
        <v>98</v>
      </c>
      <c r="D13" s="56" t="s">
        <v>109</v>
      </c>
      <c r="E13" s="56" t="s">
        <v>110</v>
      </c>
      <c r="F13" s="56" t="s">
        <v>111</v>
      </c>
      <c r="G13" s="56" t="s">
        <v>112</v>
      </c>
      <c r="H13" s="56" t="s">
        <v>113</v>
      </c>
      <c r="I13" s="56" t="s">
        <v>114</v>
      </c>
      <c r="J13" s="56" t="s">
        <v>22</v>
      </c>
      <c r="K13" s="56" t="s">
        <v>115</v>
      </c>
      <c r="L13" s="56" t="s">
        <v>116</v>
      </c>
      <c r="M13" s="56" t="s">
        <v>117</v>
      </c>
      <c r="N13" s="56"/>
    </row>
    <row r="14" spans="2:45">
      <c r="B14" s="55">
        <v>1</v>
      </c>
      <c r="C14" s="55" t="s">
        <v>100</v>
      </c>
      <c r="D14" s="57"/>
      <c r="E14" s="57" t="str">
        <f>INDEX('Fuel Sub Calcs'!$C$33:$C$37,$B14)</f>
        <v>NR</v>
      </c>
      <c r="F14" s="58">
        <f>INDEX('Fuel Sub Calcs'!$N$15:$N$19,$B14)</f>
        <v>15</v>
      </c>
      <c r="G14" s="57">
        <f>INDEX('Fuel Sub Calcs'!$E$15:$E$19,$B14)</f>
        <v>15</v>
      </c>
      <c r="H14" s="57"/>
      <c r="I14" s="57"/>
      <c r="J14" s="58">
        <f>INDEX('Fuel Sub Calcs'!$F$15:$F$19,$B14)</f>
        <v>2020</v>
      </c>
      <c r="K14" s="58">
        <f>J14+F14</f>
        <v>2035</v>
      </c>
      <c r="L14" s="58">
        <f>J14+G14</f>
        <v>2035</v>
      </c>
      <c r="M14" s="58">
        <f>SUM(O14:AS14)</f>
        <v>15</v>
      </c>
      <c r="N14" s="57"/>
      <c r="O14" s="59">
        <f t="shared" ref="O14:X18" si="0">MAX(0,MIN(1,MIN(O$12+1,$K14)-MAX($J14,O$12)))</f>
        <v>0</v>
      </c>
      <c r="P14" s="59">
        <f t="shared" si="0"/>
        <v>1</v>
      </c>
      <c r="Q14" s="59">
        <f t="shared" si="0"/>
        <v>1</v>
      </c>
      <c r="R14" s="59">
        <f t="shared" si="0"/>
        <v>1</v>
      </c>
      <c r="S14" s="59">
        <f t="shared" si="0"/>
        <v>1</v>
      </c>
      <c r="T14" s="59">
        <f t="shared" si="0"/>
        <v>1</v>
      </c>
      <c r="U14" s="59">
        <f t="shared" si="0"/>
        <v>1</v>
      </c>
      <c r="V14" s="59">
        <f t="shared" si="0"/>
        <v>1</v>
      </c>
      <c r="W14" s="59">
        <f t="shared" si="0"/>
        <v>1</v>
      </c>
      <c r="X14" s="59">
        <f t="shared" si="0"/>
        <v>1</v>
      </c>
      <c r="Y14" s="59">
        <f t="shared" ref="Y14:AH18" si="1">MAX(0,MIN(1,MIN(Y$12+1,$K14)-MAX($J14,Y$12)))</f>
        <v>1</v>
      </c>
      <c r="Z14" s="59">
        <f t="shared" si="1"/>
        <v>1</v>
      </c>
      <c r="AA14" s="59">
        <f t="shared" si="1"/>
        <v>1</v>
      </c>
      <c r="AB14" s="59">
        <f t="shared" si="1"/>
        <v>1</v>
      </c>
      <c r="AC14" s="59">
        <f t="shared" si="1"/>
        <v>1</v>
      </c>
      <c r="AD14" s="59">
        <f t="shared" si="1"/>
        <v>1</v>
      </c>
      <c r="AE14" s="59">
        <f t="shared" si="1"/>
        <v>0</v>
      </c>
      <c r="AF14" s="59">
        <f t="shared" si="1"/>
        <v>0</v>
      </c>
      <c r="AG14" s="59">
        <f t="shared" si="1"/>
        <v>0</v>
      </c>
      <c r="AH14" s="59">
        <f t="shared" si="1"/>
        <v>0</v>
      </c>
      <c r="AI14" s="59">
        <f t="shared" ref="AI14:AS18" si="2">MAX(0,MIN(1,MIN(AI$12+1,$K14)-MAX($J14,AI$12)))</f>
        <v>0</v>
      </c>
      <c r="AJ14" s="59">
        <f t="shared" si="2"/>
        <v>0</v>
      </c>
      <c r="AK14" s="59">
        <f t="shared" si="2"/>
        <v>0</v>
      </c>
      <c r="AL14" s="59">
        <f t="shared" si="2"/>
        <v>0</v>
      </c>
      <c r="AM14" s="59">
        <f t="shared" si="2"/>
        <v>0</v>
      </c>
      <c r="AN14" s="59">
        <f t="shared" si="2"/>
        <v>0</v>
      </c>
      <c r="AO14" s="59">
        <f t="shared" si="2"/>
        <v>0</v>
      </c>
      <c r="AP14" s="59">
        <f t="shared" si="2"/>
        <v>0</v>
      </c>
      <c r="AQ14" s="59">
        <f t="shared" si="2"/>
        <v>0</v>
      </c>
      <c r="AR14" s="59">
        <f t="shared" si="2"/>
        <v>0</v>
      </c>
      <c r="AS14" s="59">
        <f t="shared" si="2"/>
        <v>0</v>
      </c>
    </row>
    <row r="15" spans="2:45">
      <c r="B15" s="55">
        <v>2</v>
      </c>
      <c r="C15" s="55" t="s">
        <v>100</v>
      </c>
      <c r="D15" s="57"/>
      <c r="E15" s="57" t="str">
        <f>INDEX('Fuel Sub Calcs'!$C$33:$C$37,$B15)</f>
        <v>NR</v>
      </c>
      <c r="F15" s="58">
        <f>INDEX('Fuel Sub Calcs'!$N$15:$N$19,$B15)</f>
        <v>15</v>
      </c>
      <c r="G15" s="57">
        <f>INDEX('Fuel Sub Calcs'!$E$15:$E$19,$B15)</f>
        <v>15</v>
      </c>
      <c r="H15" s="57"/>
      <c r="I15" s="57"/>
      <c r="J15" s="58">
        <f>INDEX('Fuel Sub Calcs'!$F$15:$F$19,$B15)</f>
        <v>2020</v>
      </c>
      <c r="K15" s="58">
        <f>J15+F15</f>
        <v>2035</v>
      </c>
      <c r="L15" s="58">
        <f>J15+G15</f>
        <v>2035</v>
      </c>
      <c r="M15" s="58">
        <f t="shared" ref="M15:M36" si="3">SUM(O15:AS15)</f>
        <v>15</v>
      </c>
      <c r="N15" s="57"/>
      <c r="O15" s="59">
        <f t="shared" si="0"/>
        <v>0</v>
      </c>
      <c r="P15" s="59">
        <f t="shared" si="0"/>
        <v>1</v>
      </c>
      <c r="Q15" s="59">
        <f t="shared" si="0"/>
        <v>1</v>
      </c>
      <c r="R15" s="59">
        <f t="shared" si="0"/>
        <v>1</v>
      </c>
      <c r="S15" s="59">
        <f t="shared" si="0"/>
        <v>1</v>
      </c>
      <c r="T15" s="59">
        <f t="shared" si="0"/>
        <v>1</v>
      </c>
      <c r="U15" s="59">
        <f t="shared" si="0"/>
        <v>1</v>
      </c>
      <c r="V15" s="59">
        <f t="shared" si="0"/>
        <v>1</v>
      </c>
      <c r="W15" s="59">
        <f t="shared" si="0"/>
        <v>1</v>
      </c>
      <c r="X15" s="59">
        <f t="shared" si="0"/>
        <v>1</v>
      </c>
      <c r="Y15" s="59">
        <f t="shared" si="1"/>
        <v>1</v>
      </c>
      <c r="Z15" s="59">
        <f t="shared" si="1"/>
        <v>1</v>
      </c>
      <c r="AA15" s="59">
        <f t="shared" si="1"/>
        <v>1</v>
      </c>
      <c r="AB15" s="59">
        <f t="shared" si="1"/>
        <v>1</v>
      </c>
      <c r="AC15" s="59">
        <f t="shared" si="1"/>
        <v>1</v>
      </c>
      <c r="AD15" s="59">
        <f t="shared" si="1"/>
        <v>1</v>
      </c>
      <c r="AE15" s="59">
        <f t="shared" si="1"/>
        <v>0</v>
      </c>
      <c r="AF15" s="59">
        <f t="shared" si="1"/>
        <v>0</v>
      </c>
      <c r="AG15" s="59">
        <f t="shared" si="1"/>
        <v>0</v>
      </c>
      <c r="AH15" s="59">
        <f t="shared" si="1"/>
        <v>0</v>
      </c>
      <c r="AI15" s="59">
        <f t="shared" si="2"/>
        <v>0</v>
      </c>
      <c r="AJ15" s="59">
        <f t="shared" si="2"/>
        <v>0</v>
      </c>
      <c r="AK15" s="59">
        <f t="shared" si="2"/>
        <v>0</v>
      </c>
      <c r="AL15" s="59">
        <f t="shared" si="2"/>
        <v>0</v>
      </c>
      <c r="AM15" s="59">
        <f t="shared" si="2"/>
        <v>0</v>
      </c>
      <c r="AN15" s="59">
        <f t="shared" si="2"/>
        <v>0</v>
      </c>
      <c r="AO15" s="59">
        <f t="shared" si="2"/>
        <v>0</v>
      </c>
      <c r="AP15" s="59">
        <f t="shared" si="2"/>
        <v>0</v>
      </c>
      <c r="AQ15" s="59">
        <f t="shared" si="2"/>
        <v>0</v>
      </c>
      <c r="AR15" s="59">
        <f t="shared" si="2"/>
        <v>0</v>
      </c>
      <c r="AS15" s="59">
        <f t="shared" si="2"/>
        <v>0</v>
      </c>
    </row>
    <row r="16" spans="2:45">
      <c r="B16" s="55">
        <v>3</v>
      </c>
      <c r="C16" s="55" t="s">
        <v>100</v>
      </c>
      <c r="D16" s="57"/>
      <c r="E16" s="57" t="str">
        <f>INDEX('Fuel Sub Calcs'!$C$33:$C$37,$B16)</f>
        <v>NR</v>
      </c>
      <c r="F16" s="58">
        <f>INDEX('Fuel Sub Calcs'!$N$15:$N$19,$B16)</f>
        <v>10</v>
      </c>
      <c r="G16" s="57">
        <f>INDEX('Fuel Sub Calcs'!$E$15:$E$19,$B16)</f>
        <v>10</v>
      </c>
      <c r="H16" s="57"/>
      <c r="I16" s="57"/>
      <c r="J16" s="58">
        <f>INDEX('Fuel Sub Calcs'!$F$15:$F$19,$B16)</f>
        <v>2020</v>
      </c>
      <c r="K16" s="58">
        <f>J16+F16</f>
        <v>2030</v>
      </c>
      <c r="L16" s="58">
        <f>J16+G16</f>
        <v>2030</v>
      </c>
      <c r="M16" s="58">
        <f t="shared" si="3"/>
        <v>10</v>
      </c>
      <c r="N16" s="57"/>
      <c r="O16" s="59">
        <f t="shared" si="0"/>
        <v>0</v>
      </c>
      <c r="P16" s="59">
        <f t="shared" si="0"/>
        <v>1</v>
      </c>
      <c r="Q16" s="59">
        <f t="shared" si="0"/>
        <v>1</v>
      </c>
      <c r="R16" s="59">
        <f t="shared" si="0"/>
        <v>1</v>
      </c>
      <c r="S16" s="59">
        <f t="shared" si="0"/>
        <v>1</v>
      </c>
      <c r="T16" s="59">
        <f t="shared" si="0"/>
        <v>1</v>
      </c>
      <c r="U16" s="59">
        <f t="shared" si="0"/>
        <v>1</v>
      </c>
      <c r="V16" s="59">
        <f t="shared" si="0"/>
        <v>1</v>
      </c>
      <c r="W16" s="59">
        <f t="shared" si="0"/>
        <v>1</v>
      </c>
      <c r="X16" s="59">
        <f t="shared" si="0"/>
        <v>1</v>
      </c>
      <c r="Y16" s="59">
        <f t="shared" si="1"/>
        <v>1</v>
      </c>
      <c r="Z16" s="59">
        <f t="shared" si="1"/>
        <v>0</v>
      </c>
      <c r="AA16" s="59">
        <f t="shared" si="1"/>
        <v>0</v>
      </c>
      <c r="AB16" s="59">
        <f t="shared" si="1"/>
        <v>0</v>
      </c>
      <c r="AC16" s="59">
        <f t="shared" si="1"/>
        <v>0</v>
      </c>
      <c r="AD16" s="59">
        <f t="shared" si="1"/>
        <v>0</v>
      </c>
      <c r="AE16" s="59">
        <f t="shared" si="1"/>
        <v>0</v>
      </c>
      <c r="AF16" s="59">
        <f t="shared" si="1"/>
        <v>0</v>
      </c>
      <c r="AG16" s="59">
        <f t="shared" si="1"/>
        <v>0</v>
      </c>
      <c r="AH16" s="59">
        <f t="shared" si="1"/>
        <v>0</v>
      </c>
      <c r="AI16" s="59">
        <f t="shared" si="2"/>
        <v>0</v>
      </c>
      <c r="AJ16" s="59">
        <f t="shared" si="2"/>
        <v>0</v>
      </c>
      <c r="AK16" s="59">
        <f t="shared" si="2"/>
        <v>0</v>
      </c>
      <c r="AL16" s="59">
        <f t="shared" si="2"/>
        <v>0</v>
      </c>
      <c r="AM16" s="59">
        <f t="shared" si="2"/>
        <v>0</v>
      </c>
      <c r="AN16" s="59">
        <f t="shared" si="2"/>
        <v>0</v>
      </c>
      <c r="AO16" s="59">
        <f t="shared" si="2"/>
        <v>0</v>
      </c>
      <c r="AP16" s="59">
        <f t="shared" si="2"/>
        <v>0</v>
      </c>
      <c r="AQ16" s="59">
        <f t="shared" si="2"/>
        <v>0</v>
      </c>
      <c r="AR16" s="59">
        <f t="shared" si="2"/>
        <v>0</v>
      </c>
      <c r="AS16" s="59">
        <f t="shared" si="2"/>
        <v>0</v>
      </c>
    </row>
    <row r="17" spans="2:45">
      <c r="B17" s="55">
        <v>4</v>
      </c>
      <c r="C17" s="55" t="s">
        <v>100</v>
      </c>
      <c r="D17" s="57"/>
      <c r="E17" s="57" t="str">
        <f>INDEX('Fuel Sub Calcs'!$C$33:$C$37,$B17)</f>
        <v>NR</v>
      </c>
      <c r="F17" s="58">
        <f>INDEX('Fuel Sub Calcs'!$N$15:$N$19,$B17)</f>
        <v>12</v>
      </c>
      <c r="G17" s="57">
        <f>INDEX('Fuel Sub Calcs'!$E$15:$E$19,$B17)</f>
        <v>12</v>
      </c>
      <c r="H17" s="57"/>
      <c r="I17" s="57"/>
      <c r="J17" s="58">
        <f>INDEX('Fuel Sub Calcs'!$F$15:$F$19,$B17)</f>
        <v>2020</v>
      </c>
      <c r="K17" s="58">
        <f>J17+F17</f>
        <v>2032</v>
      </c>
      <c r="L17" s="58">
        <f>J17+G17</f>
        <v>2032</v>
      </c>
      <c r="M17" s="58">
        <f t="shared" si="3"/>
        <v>12</v>
      </c>
      <c r="N17" s="57"/>
      <c r="O17" s="59">
        <f t="shared" si="0"/>
        <v>0</v>
      </c>
      <c r="P17" s="59">
        <f t="shared" si="0"/>
        <v>1</v>
      </c>
      <c r="Q17" s="59">
        <f t="shared" si="0"/>
        <v>1</v>
      </c>
      <c r="R17" s="59">
        <f t="shared" si="0"/>
        <v>1</v>
      </c>
      <c r="S17" s="59">
        <f t="shared" si="0"/>
        <v>1</v>
      </c>
      <c r="T17" s="59">
        <f t="shared" si="0"/>
        <v>1</v>
      </c>
      <c r="U17" s="59">
        <f t="shared" si="0"/>
        <v>1</v>
      </c>
      <c r="V17" s="59">
        <f t="shared" si="0"/>
        <v>1</v>
      </c>
      <c r="W17" s="59">
        <f t="shared" si="0"/>
        <v>1</v>
      </c>
      <c r="X17" s="59">
        <f t="shared" si="0"/>
        <v>1</v>
      </c>
      <c r="Y17" s="59">
        <f t="shared" si="1"/>
        <v>1</v>
      </c>
      <c r="Z17" s="59">
        <f t="shared" si="1"/>
        <v>1</v>
      </c>
      <c r="AA17" s="59">
        <f t="shared" si="1"/>
        <v>1</v>
      </c>
      <c r="AB17" s="59">
        <f t="shared" si="1"/>
        <v>0</v>
      </c>
      <c r="AC17" s="59">
        <f t="shared" si="1"/>
        <v>0</v>
      </c>
      <c r="AD17" s="59">
        <f t="shared" si="1"/>
        <v>0</v>
      </c>
      <c r="AE17" s="59">
        <f t="shared" si="1"/>
        <v>0</v>
      </c>
      <c r="AF17" s="59">
        <f t="shared" si="1"/>
        <v>0</v>
      </c>
      <c r="AG17" s="59">
        <f t="shared" si="1"/>
        <v>0</v>
      </c>
      <c r="AH17" s="59">
        <f t="shared" si="1"/>
        <v>0</v>
      </c>
      <c r="AI17" s="59">
        <f t="shared" si="2"/>
        <v>0</v>
      </c>
      <c r="AJ17" s="59">
        <f t="shared" si="2"/>
        <v>0</v>
      </c>
      <c r="AK17" s="59">
        <f t="shared" si="2"/>
        <v>0</v>
      </c>
      <c r="AL17" s="59">
        <f t="shared" si="2"/>
        <v>0</v>
      </c>
      <c r="AM17" s="59">
        <f t="shared" si="2"/>
        <v>0</v>
      </c>
      <c r="AN17" s="59">
        <f t="shared" si="2"/>
        <v>0</v>
      </c>
      <c r="AO17" s="59">
        <f t="shared" si="2"/>
        <v>0</v>
      </c>
      <c r="AP17" s="59">
        <f t="shared" si="2"/>
        <v>0</v>
      </c>
      <c r="AQ17" s="59">
        <f t="shared" si="2"/>
        <v>0</v>
      </c>
      <c r="AR17" s="59">
        <f t="shared" si="2"/>
        <v>0</v>
      </c>
      <c r="AS17" s="59">
        <f t="shared" si="2"/>
        <v>0</v>
      </c>
    </row>
    <row r="18" spans="2:45">
      <c r="B18" s="55">
        <v>5</v>
      </c>
      <c r="C18" s="55" t="s">
        <v>100</v>
      </c>
      <c r="D18" s="57"/>
      <c r="E18" s="57">
        <f>INDEX('Fuel Sub Calcs'!$C$33:$C$37,$B18)</f>
        <v>0</v>
      </c>
      <c r="F18" s="58">
        <f>INDEX('Fuel Sub Calcs'!$N$15:$N$19,$B18)</f>
        <v>0</v>
      </c>
      <c r="G18" s="57">
        <f>INDEX('Fuel Sub Calcs'!$E$15:$E$19,$B18)</f>
        <v>0</v>
      </c>
      <c r="H18" s="57"/>
      <c r="I18" s="57"/>
      <c r="J18" s="58">
        <f>INDEX('Fuel Sub Calcs'!$F$15:$F$19,$B18)</f>
        <v>0</v>
      </c>
      <c r="K18" s="58">
        <f>J18+F18</f>
        <v>0</v>
      </c>
      <c r="L18" s="58">
        <f>J18+G18</f>
        <v>0</v>
      </c>
      <c r="M18" s="58">
        <f t="shared" si="3"/>
        <v>0</v>
      </c>
      <c r="N18" s="57"/>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1"/>
        <v>0</v>
      </c>
      <c r="Z18" s="59">
        <f t="shared" si="1"/>
        <v>0</v>
      </c>
      <c r="AA18" s="59">
        <f t="shared" si="1"/>
        <v>0</v>
      </c>
      <c r="AB18" s="59">
        <f t="shared" si="1"/>
        <v>0</v>
      </c>
      <c r="AC18" s="59">
        <f t="shared" si="1"/>
        <v>0</v>
      </c>
      <c r="AD18" s="59">
        <f t="shared" si="1"/>
        <v>0</v>
      </c>
      <c r="AE18" s="59">
        <f t="shared" si="1"/>
        <v>0</v>
      </c>
      <c r="AF18" s="59">
        <f t="shared" si="1"/>
        <v>0</v>
      </c>
      <c r="AG18" s="59">
        <f t="shared" si="1"/>
        <v>0</v>
      </c>
      <c r="AH18" s="59">
        <f t="shared" si="1"/>
        <v>0</v>
      </c>
      <c r="AI18" s="59">
        <f t="shared" si="2"/>
        <v>0</v>
      </c>
      <c r="AJ18" s="59">
        <f t="shared" si="2"/>
        <v>0</v>
      </c>
      <c r="AK18" s="59">
        <f t="shared" si="2"/>
        <v>0</v>
      </c>
      <c r="AL18" s="59">
        <f t="shared" si="2"/>
        <v>0</v>
      </c>
      <c r="AM18" s="59">
        <f t="shared" si="2"/>
        <v>0</v>
      </c>
      <c r="AN18" s="59">
        <f t="shared" si="2"/>
        <v>0</v>
      </c>
      <c r="AO18" s="59">
        <f t="shared" si="2"/>
        <v>0</v>
      </c>
      <c r="AP18" s="59">
        <f t="shared" si="2"/>
        <v>0</v>
      </c>
      <c r="AQ18" s="59">
        <f t="shared" si="2"/>
        <v>0</v>
      </c>
      <c r="AR18" s="59">
        <f t="shared" si="2"/>
        <v>0</v>
      </c>
      <c r="AS18" s="59">
        <f t="shared" si="2"/>
        <v>0</v>
      </c>
    </row>
    <row r="19" spans="2:45">
      <c r="B19" s="57"/>
      <c r="C19" s="57"/>
      <c r="D19" s="57"/>
      <c r="E19" s="57"/>
      <c r="F19" s="58"/>
      <c r="G19" s="57"/>
      <c r="H19" s="57"/>
      <c r="I19" s="57"/>
      <c r="J19" s="58"/>
      <c r="K19" s="58"/>
      <c r="L19" s="58"/>
      <c r="M19" s="58"/>
      <c r="N19" s="57"/>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row>
    <row r="20" spans="2:45">
      <c r="B20" s="55">
        <v>1</v>
      </c>
      <c r="C20" s="55" t="s">
        <v>102</v>
      </c>
      <c r="D20" s="57"/>
      <c r="E20" s="57" t="str">
        <f>INDEX('Fuel Sub Calcs'!$C$33:$C$37,$B20)</f>
        <v>NR</v>
      </c>
      <c r="F20" s="58">
        <f>INDEX('Fuel Sub Calcs'!$N$15:$N$19,$B20)</f>
        <v>15</v>
      </c>
      <c r="G20" s="57">
        <f>INDEX('Fuel Sub Calcs'!$E$15:$E$19,$B20)</f>
        <v>15</v>
      </c>
      <c r="H20" s="57"/>
      <c r="I20" s="57"/>
      <c r="J20" s="58">
        <f>INDEX('Fuel Sub Calcs'!$F$15:$F$19,$B20)</f>
        <v>2020</v>
      </c>
      <c r="K20" s="58">
        <f>J20+F20</f>
        <v>2035</v>
      </c>
      <c r="L20" s="58">
        <f>J20+G20</f>
        <v>2035</v>
      </c>
      <c r="M20" s="58">
        <f t="shared" si="3"/>
        <v>0</v>
      </c>
      <c r="N20" s="57"/>
      <c r="O20" s="59">
        <f>MAX(0,MIN(1,MIN(O$12+1,$L20)-MAX($K20,O$12)))</f>
        <v>0</v>
      </c>
      <c r="P20" s="59">
        <f t="shared" ref="P20:AE24" si="4">MAX(0,MIN(1,MIN(P$12+1,$L20)-MAX($K20,P$12)))</f>
        <v>0</v>
      </c>
      <c r="Q20" s="59">
        <f t="shared" si="4"/>
        <v>0</v>
      </c>
      <c r="R20" s="59">
        <f t="shared" si="4"/>
        <v>0</v>
      </c>
      <c r="S20" s="59">
        <f t="shared" si="4"/>
        <v>0</v>
      </c>
      <c r="T20" s="59">
        <f t="shared" si="4"/>
        <v>0</v>
      </c>
      <c r="U20" s="59">
        <f t="shared" si="4"/>
        <v>0</v>
      </c>
      <c r="V20" s="59">
        <f t="shared" si="4"/>
        <v>0</v>
      </c>
      <c r="W20" s="59">
        <f t="shared" si="4"/>
        <v>0</v>
      </c>
      <c r="X20" s="59">
        <f t="shared" si="4"/>
        <v>0</v>
      </c>
      <c r="Y20" s="59">
        <f t="shared" si="4"/>
        <v>0</v>
      </c>
      <c r="Z20" s="59">
        <f t="shared" si="4"/>
        <v>0</v>
      </c>
      <c r="AA20" s="59">
        <f t="shared" si="4"/>
        <v>0</v>
      </c>
      <c r="AB20" s="59">
        <f t="shared" si="4"/>
        <v>0</v>
      </c>
      <c r="AC20" s="59">
        <f t="shared" si="4"/>
        <v>0</v>
      </c>
      <c r="AD20" s="59">
        <f t="shared" si="4"/>
        <v>0</v>
      </c>
      <c r="AE20" s="59">
        <f t="shared" si="4"/>
        <v>0</v>
      </c>
      <c r="AF20" s="59">
        <f t="shared" ref="AF20:AS24" si="5">MAX(0,MIN(1,MIN(AF$12+1,$L20)-MAX($K20,AF$12)))</f>
        <v>0</v>
      </c>
      <c r="AG20" s="59">
        <f t="shared" si="5"/>
        <v>0</v>
      </c>
      <c r="AH20" s="59">
        <f t="shared" si="5"/>
        <v>0</v>
      </c>
      <c r="AI20" s="59">
        <f t="shared" si="5"/>
        <v>0</v>
      </c>
      <c r="AJ20" s="59">
        <f t="shared" si="5"/>
        <v>0</v>
      </c>
      <c r="AK20" s="59">
        <f t="shared" si="5"/>
        <v>0</v>
      </c>
      <c r="AL20" s="59">
        <f t="shared" si="5"/>
        <v>0</v>
      </c>
      <c r="AM20" s="59">
        <f t="shared" si="5"/>
        <v>0</v>
      </c>
      <c r="AN20" s="59">
        <f t="shared" si="5"/>
        <v>0</v>
      </c>
      <c r="AO20" s="59">
        <f t="shared" si="5"/>
        <v>0</v>
      </c>
      <c r="AP20" s="59">
        <f t="shared" si="5"/>
        <v>0</v>
      </c>
      <c r="AQ20" s="59">
        <f t="shared" si="5"/>
        <v>0</v>
      </c>
      <c r="AR20" s="59">
        <f t="shared" si="5"/>
        <v>0</v>
      </c>
      <c r="AS20" s="59">
        <f t="shared" si="5"/>
        <v>0</v>
      </c>
    </row>
    <row r="21" spans="2:45">
      <c r="B21" s="55">
        <v>2</v>
      </c>
      <c r="C21" s="55" t="s">
        <v>102</v>
      </c>
      <c r="D21" s="57"/>
      <c r="E21" s="57" t="str">
        <f>INDEX('Fuel Sub Calcs'!$C$33:$C$37,$B21)</f>
        <v>NR</v>
      </c>
      <c r="F21" s="58">
        <f>INDEX('Fuel Sub Calcs'!$N$15:$N$19,$B21)</f>
        <v>15</v>
      </c>
      <c r="G21" s="57">
        <f>INDEX('Fuel Sub Calcs'!$E$15:$E$19,$B21)</f>
        <v>15</v>
      </c>
      <c r="H21" s="57"/>
      <c r="I21" s="57"/>
      <c r="J21" s="58">
        <f>INDEX('Fuel Sub Calcs'!$F$15:$F$19,$B21)</f>
        <v>2020</v>
      </c>
      <c r="K21" s="58">
        <f>J21+F21</f>
        <v>2035</v>
      </c>
      <c r="L21" s="58">
        <f>J21+G21</f>
        <v>2035</v>
      </c>
      <c r="M21" s="58">
        <f t="shared" si="3"/>
        <v>0</v>
      </c>
      <c r="N21" s="57"/>
      <c r="O21" s="59">
        <f t="shared" ref="O21:O24" si="6">MAX(0,MIN(1,MIN(O$12+1,$L21)-MAX($K21,O$12)))</f>
        <v>0</v>
      </c>
      <c r="P21" s="59">
        <f t="shared" si="4"/>
        <v>0</v>
      </c>
      <c r="Q21" s="59">
        <f t="shared" si="4"/>
        <v>0</v>
      </c>
      <c r="R21" s="59">
        <f t="shared" si="4"/>
        <v>0</v>
      </c>
      <c r="S21" s="59">
        <f t="shared" si="4"/>
        <v>0</v>
      </c>
      <c r="T21" s="59">
        <f t="shared" si="4"/>
        <v>0</v>
      </c>
      <c r="U21" s="59">
        <f t="shared" si="4"/>
        <v>0</v>
      </c>
      <c r="V21" s="59">
        <f t="shared" si="4"/>
        <v>0</v>
      </c>
      <c r="W21" s="59">
        <f t="shared" si="4"/>
        <v>0</v>
      </c>
      <c r="X21" s="59">
        <f t="shared" si="4"/>
        <v>0</v>
      </c>
      <c r="Y21" s="59">
        <f t="shared" si="4"/>
        <v>0</v>
      </c>
      <c r="Z21" s="59">
        <f t="shared" si="4"/>
        <v>0</v>
      </c>
      <c r="AA21" s="59">
        <f t="shared" si="4"/>
        <v>0</v>
      </c>
      <c r="AB21" s="59">
        <f t="shared" si="4"/>
        <v>0</v>
      </c>
      <c r="AC21" s="59">
        <f t="shared" si="4"/>
        <v>0</v>
      </c>
      <c r="AD21" s="59">
        <f t="shared" si="4"/>
        <v>0</v>
      </c>
      <c r="AE21" s="59">
        <f t="shared" si="4"/>
        <v>0</v>
      </c>
      <c r="AF21" s="59">
        <f t="shared" si="5"/>
        <v>0</v>
      </c>
      <c r="AG21" s="59">
        <f t="shared" si="5"/>
        <v>0</v>
      </c>
      <c r="AH21" s="59">
        <f t="shared" si="5"/>
        <v>0</v>
      </c>
      <c r="AI21" s="59">
        <f t="shared" si="5"/>
        <v>0</v>
      </c>
      <c r="AJ21" s="59">
        <f t="shared" si="5"/>
        <v>0</v>
      </c>
      <c r="AK21" s="59">
        <f t="shared" si="5"/>
        <v>0</v>
      </c>
      <c r="AL21" s="59">
        <f t="shared" si="5"/>
        <v>0</v>
      </c>
      <c r="AM21" s="59">
        <f t="shared" si="5"/>
        <v>0</v>
      </c>
      <c r="AN21" s="59">
        <f t="shared" si="5"/>
        <v>0</v>
      </c>
      <c r="AO21" s="59">
        <f t="shared" si="5"/>
        <v>0</v>
      </c>
      <c r="AP21" s="59">
        <f t="shared" si="5"/>
        <v>0</v>
      </c>
      <c r="AQ21" s="59">
        <f t="shared" si="5"/>
        <v>0</v>
      </c>
      <c r="AR21" s="59">
        <f t="shared" si="5"/>
        <v>0</v>
      </c>
      <c r="AS21" s="59">
        <f t="shared" si="5"/>
        <v>0</v>
      </c>
    </row>
    <row r="22" spans="2:45">
      <c r="B22" s="55">
        <v>3</v>
      </c>
      <c r="C22" s="55" t="s">
        <v>102</v>
      </c>
      <c r="D22" s="57"/>
      <c r="E22" s="57" t="str">
        <f>INDEX('Fuel Sub Calcs'!$C$33:$C$37,$B22)</f>
        <v>NR</v>
      </c>
      <c r="F22" s="58">
        <f>INDEX('Fuel Sub Calcs'!$N$15:$N$19,$B22)</f>
        <v>10</v>
      </c>
      <c r="G22" s="57">
        <f>INDEX('Fuel Sub Calcs'!$E$15:$E$19,$B22)</f>
        <v>10</v>
      </c>
      <c r="H22" s="57"/>
      <c r="I22" s="57"/>
      <c r="J22" s="58">
        <f>INDEX('Fuel Sub Calcs'!$F$15:$F$19,$B22)</f>
        <v>2020</v>
      </c>
      <c r="K22" s="58">
        <f>J22+F22</f>
        <v>2030</v>
      </c>
      <c r="L22" s="58">
        <f>J22+G22</f>
        <v>2030</v>
      </c>
      <c r="M22" s="58">
        <f t="shared" si="3"/>
        <v>0</v>
      </c>
      <c r="N22" s="57"/>
      <c r="O22" s="59">
        <f t="shared" si="6"/>
        <v>0</v>
      </c>
      <c r="P22" s="59">
        <f t="shared" si="4"/>
        <v>0</v>
      </c>
      <c r="Q22" s="59">
        <f t="shared" si="4"/>
        <v>0</v>
      </c>
      <c r="R22" s="59">
        <f t="shared" si="4"/>
        <v>0</v>
      </c>
      <c r="S22" s="59">
        <f t="shared" si="4"/>
        <v>0</v>
      </c>
      <c r="T22" s="59">
        <f t="shared" si="4"/>
        <v>0</v>
      </c>
      <c r="U22" s="59">
        <f t="shared" si="4"/>
        <v>0</v>
      </c>
      <c r="V22" s="59">
        <f t="shared" si="4"/>
        <v>0</v>
      </c>
      <c r="W22" s="59">
        <f t="shared" si="4"/>
        <v>0</v>
      </c>
      <c r="X22" s="59">
        <f t="shared" si="4"/>
        <v>0</v>
      </c>
      <c r="Y22" s="59">
        <f t="shared" si="4"/>
        <v>0</v>
      </c>
      <c r="Z22" s="59">
        <f t="shared" si="4"/>
        <v>0</v>
      </c>
      <c r="AA22" s="59">
        <f t="shared" si="4"/>
        <v>0</v>
      </c>
      <c r="AB22" s="59">
        <f t="shared" si="4"/>
        <v>0</v>
      </c>
      <c r="AC22" s="59">
        <f t="shared" si="4"/>
        <v>0</v>
      </c>
      <c r="AD22" s="59">
        <f t="shared" si="4"/>
        <v>0</v>
      </c>
      <c r="AE22" s="59">
        <f t="shared" si="4"/>
        <v>0</v>
      </c>
      <c r="AF22" s="59">
        <f t="shared" si="5"/>
        <v>0</v>
      </c>
      <c r="AG22" s="59">
        <f t="shared" si="5"/>
        <v>0</v>
      </c>
      <c r="AH22" s="59">
        <f t="shared" si="5"/>
        <v>0</v>
      </c>
      <c r="AI22" s="59">
        <f t="shared" si="5"/>
        <v>0</v>
      </c>
      <c r="AJ22" s="59">
        <f t="shared" si="5"/>
        <v>0</v>
      </c>
      <c r="AK22" s="59">
        <f t="shared" si="5"/>
        <v>0</v>
      </c>
      <c r="AL22" s="59">
        <f t="shared" si="5"/>
        <v>0</v>
      </c>
      <c r="AM22" s="59">
        <f t="shared" si="5"/>
        <v>0</v>
      </c>
      <c r="AN22" s="59">
        <f t="shared" si="5"/>
        <v>0</v>
      </c>
      <c r="AO22" s="59">
        <f t="shared" si="5"/>
        <v>0</v>
      </c>
      <c r="AP22" s="59">
        <f t="shared" si="5"/>
        <v>0</v>
      </c>
      <c r="AQ22" s="59">
        <f t="shared" si="5"/>
        <v>0</v>
      </c>
      <c r="AR22" s="59">
        <f t="shared" si="5"/>
        <v>0</v>
      </c>
      <c r="AS22" s="59">
        <f t="shared" si="5"/>
        <v>0</v>
      </c>
    </row>
    <row r="23" spans="2:45">
      <c r="B23" s="55">
        <v>4</v>
      </c>
      <c r="C23" s="55" t="s">
        <v>102</v>
      </c>
      <c r="D23" s="57"/>
      <c r="E23" s="57" t="str">
        <f>INDEX('Fuel Sub Calcs'!$C$33:$C$37,$B23)</f>
        <v>NR</v>
      </c>
      <c r="F23" s="58">
        <f>INDEX('Fuel Sub Calcs'!$N$15:$N$19,$B23)</f>
        <v>12</v>
      </c>
      <c r="G23" s="57">
        <f>INDEX('Fuel Sub Calcs'!$E$15:$E$19,$B23)</f>
        <v>12</v>
      </c>
      <c r="H23" s="57"/>
      <c r="I23" s="57"/>
      <c r="J23" s="58">
        <f>INDEX('Fuel Sub Calcs'!$F$15:$F$19,$B23)</f>
        <v>2020</v>
      </c>
      <c r="K23" s="58">
        <f>J23+F23</f>
        <v>2032</v>
      </c>
      <c r="L23" s="58">
        <f>J23+G23</f>
        <v>2032</v>
      </c>
      <c r="M23" s="58">
        <f t="shared" si="3"/>
        <v>0</v>
      </c>
      <c r="N23" s="57"/>
      <c r="O23" s="59">
        <f t="shared" si="6"/>
        <v>0</v>
      </c>
      <c r="P23" s="59">
        <f t="shared" si="4"/>
        <v>0</v>
      </c>
      <c r="Q23" s="59">
        <f t="shared" si="4"/>
        <v>0</v>
      </c>
      <c r="R23" s="59">
        <f t="shared" si="4"/>
        <v>0</v>
      </c>
      <c r="S23" s="59">
        <f t="shared" si="4"/>
        <v>0</v>
      </c>
      <c r="T23" s="59">
        <f t="shared" si="4"/>
        <v>0</v>
      </c>
      <c r="U23" s="59">
        <f t="shared" si="4"/>
        <v>0</v>
      </c>
      <c r="V23" s="59">
        <f t="shared" si="4"/>
        <v>0</v>
      </c>
      <c r="W23" s="59">
        <f t="shared" si="4"/>
        <v>0</v>
      </c>
      <c r="X23" s="59">
        <f t="shared" si="4"/>
        <v>0</v>
      </c>
      <c r="Y23" s="59">
        <f t="shared" si="4"/>
        <v>0</v>
      </c>
      <c r="Z23" s="59">
        <f t="shared" si="4"/>
        <v>0</v>
      </c>
      <c r="AA23" s="59">
        <f t="shared" si="4"/>
        <v>0</v>
      </c>
      <c r="AB23" s="59">
        <f t="shared" si="4"/>
        <v>0</v>
      </c>
      <c r="AC23" s="59">
        <f t="shared" si="4"/>
        <v>0</v>
      </c>
      <c r="AD23" s="59">
        <f t="shared" si="4"/>
        <v>0</v>
      </c>
      <c r="AE23" s="59">
        <f t="shared" si="4"/>
        <v>0</v>
      </c>
      <c r="AF23" s="59">
        <f t="shared" si="5"/>
        <v>0</v>
      </c>
      <c r="AG23" s="59">
        <f t="shared" si="5"/>
        <v>0</v>
      </c>
      <c r="AH23" s="59">
        <f t="shared" si="5"/>
        <v>0</v>
      </c>
      <c r="AI23" s="59">
        <f t="shared" si="5"/>
        <v>0</v>
      </c>
      <c r="AJ23" s="59">
        <f t="shared" si="5"/>
        <v>0</v>
      </c>
      <c r="AK23" s="59">
        <f t="shared" si="5"/>
        <v>0</v>
      </c>
      <c r="AL23" s="59">
        <f t="shared" si="5"/>
        <v>0</v>
      </c>
      <c r="AM23" s="59">
        <f t="shared" si="5"/>
        <v>0</v>
      </c>
      <c r="AN23" s="59">
        <f t="shared" si="5"/>
        <v>0</v>
      </c>
      <c r="AO23" s="59">
        <f t="shared" si="5"/>
        <v>0</v>
      </c>
      <c r="AP23" s="59">
        <f t="shared" si="5"/>
        <v>0</v>
      </c>
      <c r="AQ23" s="59">
        <f t="shared" si="5"/>
        <v>0</v>
      </c>
      <c r="AR23" s="59">
        <f t="shared" si="5"/>
        <v>0</v>
      </c>
      <c r="AS23" s="59">
        <f t="shared" si="5"/>
        <v>0</v>
      </c>
    </row>
    <row r="24" spans="2:45">
      <c r="B24" s="55">
        <v>5</v>
      </c>
      <c r="C24" s="55" t="s">
        <v>102</v>
      </c>
      <c r="D24" s="57"/>
      <c r="E24" s="57">
        <f>INDEX('Fuel Sub Calcs'!$C$33:$C$37,$B24)</f>
        <v>0</v>
      </c>
      <c r="F24" s="58">
        <f>INDEX('Fuel Sub Calcs'!$N$15:$N$19,$B24)</f>
        <v>0</v>
      </c>
      <c r="G24" s="57">
        <f>INDEX('Fuel Sub Calcs'!$E$15:$E$19,$B24)</f>
        <v>0</v>
      </c>
      <c r="H24" s="57"/>
      <c r="I24" s="57"/>
      <c r="J24" s="58">
        <f>INDEX('Fuel Sub Calcs'!$F$15:$F$19,$B24)</f>
        <v>0</v>
      </c>
      <c r="K24" s="58">
        <f>J24+F24</f>
        <v>0</v>
      </c>
      <c r="L24" s="58">
        <f>J24+G24</f>
        <v>0</v>
      </c>
      <c r="M24" s="58">
        <f t="shared" si="3"/>
        <v>0</v>
      </c>
      <c r="N24" s="57"/>
      <c r="O24" s="59">
        <f t="shared" si="6"/>
        <v>0</v>
      </c>
      <c r="P24" s="59">
        <f t="shared" si="4"/>
        <v>0</v>
      </c>
      <c r="Q24" s="59">
        <f t="shared" si="4"/>
        <v>0</v>
      </c>
      <c r="R24" s="59">
        <f t="shared" si="4"/>
        <v>0</v>
      </c>
      <c r="S24" s="59">
        <f t="shared" si="4"/>
        <v>0</v>
      </c>
      <c r="T24" s="59">
        <f t="shared" si="4"/>
        <v>0</v>
      </c>
      <c r="U24" s="59">
        <f t="shared" si="4"/>
        <v>0</v>
      </c>
      <c r="V24" s="59">
        <f t="shared" si="4"/>
        <v>0</v>
      </c>
      <c r="W24" s="59">
        <f t="shared" si="4"/>
        <v>0</v>
      </c>
      <c r="X24" s="59">
        <f t="shared" si="4"/>
        <v>0</v>
      </c>
      <c r="Y24" s="59">
        <f t="shared" si="4"/>
        <v>0</v>
      </c>
      <c r="Z24" s="59">
        <f t="shared" si="4"/>
        <v>0</v>
      </c>
      <c r="AA24" s="59">
        <f t="shared" si="4"/>
        <v>0</v>
      </c>
      <c r="AB24" s="59">
        <f t="shared" si="4"/>
        <v>0</v>
      </c>
      <c r="AC24" s="59">
        <f t="shared" si="4"/>
        <v>0</v>
      </c>
      <c r="AD24" s="59">
        <f t="shared" si="4"/>
        <v>0</v>
      </c>
      <c r="AE24" s="59">
        <f t="shared" si="4"/>
        <v>0</v>
      </c>
      <c r="AF24" s="59">
        <f t="shared" si="5"/>
        <v>0</v>
      </c>
      <c r="AG24" s="59">
        <f t="shared" si="5"/>
        <v>0</v>
      </c>
      <c r="AH24" s="59">
        <f t="shared" si="5"/>
        <v>0</v>
      </c>
      <c r="AI24" s="59">
        <f t="shared" si="5"/>
        <v>0</v>
      </c>
      <c r="AJ24" s="59">
        <f t="shared" si="5"/>
        <v>0</v>
      </c>
      <c r="AK24" s="59">
        <f t="shared" si="5"/>
        <v>0</v>
      </c>
      <c r="AL24" s="59">
        <f t="shared" si="5"/>
        <v>0</v>
      </c>
      <c r="AM24" s="59">
        <f t="shared" si="5"/>
        <v>0</v>
      </c>
      <c r="AN24" s="59">
        <f t="shared" si="5"/>
        <v>0</v>
      </c>
      <c r="AO24" s="59">
        <f t="shared" si="5"/>
        <v>0</v>
      </c>
      <c r="AP24" s="59">
        <f t="shared" si="5"/>
        <v>0</v>
      </c>
      <c r="AQ24" s="59">
        <f t="shared" si="5"/>
        <v>0</v>
      </c>
      <c r="AR24" s="59">
        <f t="shared" si="5"/>
        <v>0</v>
      </c>
      <c r="AS24" s="59">
        <f t="shared" si="5"/>
        <v>0</v>
      </c>
    </row>
    <row r="25" spans="2:45">
      <c r="B25" s="57"/>
      <c r="C25" s="57"/>
      <c r="D25" s="57"/>
      <c r="E25" s="57"/>
      <c r="F25" s="58"/>
      <c r="G25" s="57"/>
      <c r="H25" s="57"/>
      <c r="I25" s="57"/>
      <c r="J25" s="58"/>
      <c r="K25" s="58"/>
      <c r="L25" s="58"/>
      <c r="M25" s="58"/>
      <c r="N25" s="57"/>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row>
    <row r="26" spans="2:45">
      <c r="B26" s="55">
        <v>1</v>
      </c>
      <c r="C26" s="55" t="s">
        <v>93</v>
      </c>
      <c r="D26" s="57">
        <f>INDEX('Fuel Sub Calcs'!$D$15:$D$19,B26)</f>
        <v>1</v>
      </c>
      <c r="E26" s="57" t="str">
        <f>INDEX('Fuel Sub Calcs'!$C$33:$C$37,$B26)</f>
        <v>NR</v>
      </c>
      <c r="F26" s="58">
        <f>INDEX('Fuel Sub Calcs'!$N$15:$N$19,$B26)</f>
        <v>15</v>
      </c>
      <c r="G26" s="57">
        <f>INDEX('Fuel Sub Calcs'!$E$15:$E$19,$B26)</f>
        <v>15</v>
      </c>
      <c r="H26" s="57">
        <f>INDEX('Fuel Sub Calcs'!$Q$24:$R$28,$B26,IF($C26="kWh",1,2))*D26</f>
        <v>-19.100000000000023</v>
      </c>
      <c r="I26" s="57">
        <f>INDEX('Fuel Sub Calcs'!$Q$33:$R$37,$B26,IF($C26="kWh",1,2))*D26</f>
        <v>0</v>
      </c>
      <c r="J26" s="58">
        <f>INDEX('Fuel Sub Calcs'!$F$15:$F$19,$B26)</f>
        <v>2020</v>
      </c>
      <c r="K26" s="58">
        <f>J26+F26</f>
        <v>2035</v>
      </c>
      <c r="L26" s="58">
        <f>J26+G26</f>
        <v>2035</v>
      </c>
      <c r="M26" s="58">
        <f t="shared" si="3"/>
        <v>-286.50000000000034</v>
      </c>
      <c r="N26" s="57"/>
      <c r="O26" s="59">
        <f>$H26*O14+$I26*O20</f>
        <v>0</v>
      </c>
      <c r="P26" s="59">
        <f t="shared" ref="P26:AS26" si="7">$H26*P14+$I26*P20</f>
        <v>-19.100000000000023</v>
      </c>
      <c r="Q26" s="59">
        <f t="shared" si="7"/>
        <v>-19.100000000000023</v>
      </c>
      <c r="R26" s="59">
        <f t="shared" si="7"/>
        <v>-19.100000000000023</v>
      </c>
      <c r="S26" s="59">
        <f t="shared" si="7"/>
        <v>-19.100000000000023</v>
      </c>
      <c r="T26" s="59">
        <f t="shared" si="7"/>
        <v>-19.100000000000023</v>
      </c>
      <c r="U26" s="59">
        <f t="shared" si="7"/>
        <v>-19.100000000000023</v>
      </c>
      <c r="V26" s="59">
        <f t="shared" si="7"/>
        <v>-19.100000000000023</v>
      </c>
      <c r="W26" s="59">
        <f t="shared" si="7"/>
        <v>-19.100000000000023</v>
      </c>
      <c r="X26" s="59">
        <f t="shared" si="7"/>
        <v>-19.100000000000023</v>
      </c>
      <c r="Y26" s="59">
        <f t="shared" si="7"/>
        <v>-19.100000000000023</v>
      </c>
      <c r="Z26" s="59">
        <f t="shared" si="7"/>
        <v>-19.100000000000023</v>
      </c>
      <c r="AA26" s="59">
        <f t="shared" si="7"/>
        <v>-19.100000000000023</v>
      </c>
      <c r="AB26" s="59">
        <f t="shared" si="7"/>
        <v>-19.100000000000023</v>
      </c>
      <c r="AC26" s="59">
        <f t="shared" si="7"/>
        <v>-19.100000000000023</v>
      </c>
      <c r="AD26" s="59">
        <f t="shared" si="7"/>
        <v>-19.100000000000023</v>
      </c>
      <c r="AE26" s="59">
        <f t="shared" si="7"/>
        <v>0</v>
      </c>
      <c r="AF26" s="59">
        <f t="shared" si="7"/>
        <v>0</v>
      </c>
      <c r="AG26" s="59">
        <f t="shared" si="7"/>
        <v>0</v>
      </c>
      <c r="AH26" s="59">
        <f t="shared" si="7"/>
        <v>0</v>
      </c>
      <c r="AI26" s="59">
        <f t="shared" si="7"/>
        <v>0</v>
      </c>
      <c r="AJ26" s="59">
        <f t="shared" si="7"/>
        <v>0</v>
      </c>
      <c r="AK26" s="59">
        <f t="shared" si="7"/>
        <v>0</v>
      </c>
      <c r="AL26" s="59">
        <f t="shared" si="7"/>
        <v>0</v>
      </c>
      <c r="AM26" s="59">
        <f t="shared" si="7"/>
        <v>0</v>
      </c>
      <c r="AN26" s="59">
        <f t="shared" si="7"/>
        <v>0</v>
      </c>
      <c r="AO26" s="59">
        <f t="shared" si="7"/>
        <v>0</v>
      </c>
      <c r="AP26" s="59">
        <f t="shared" si="7"/>
        <v>0</v>
      </c>
      <c r="AQ26" s="59">
        <f t="shared" si="7"/>
        <v>0</v>
      </c>
      <c r="AR26" s="59">
        <f t="shared" si="7"/>
        <v>0</v>
      </c>
      <c r="AS26" s="59">
        <f t="shared" si="7"/>
        <v>0</v>
      </c>
    </row>
    <row r="27" spans="2:45">
      <c r="B27" s="55">
        <v>2</v>
      </c>
      <c r="C27" s="55" t="s">
        <v>93</v>
      </c>
      <c r="D27" s="57">
        <f>INDEX('Fuel Sub Calcs'!$D$15:$D$19,B27)</f>
        <v>1</v>
      </c>
      <c r="E27" s="57" t="str">
        <f>INDEX('Fuel Sub Calcs'!$C$33:$C$37,$B27)</f>
        <v>NR</v>
      </c>
      <c r="F27" s="58">
        <f>INDEX('Fuel Sub Calcs'!$N$15:$N$19,$B27)</f>
        <v>15</v>
      </c>
      <c r="G27" s="57">
        <f>INDEX('Fuel Sub Calcs'!$E$15:$E$19,$B27)</f>
        <v>15</v>
      </c>
      <c r="H27" s="57">
        <f>INDEX('Fuel Sub Calcs'!$Q$24:$R$28,$B27,IF($C27="kWh",1,2))*D27</f>
        <v>-364.62</v>
      </c>
      <c r="I27" s="57">
        <f>INDEX('Fuel Sub Calcs'!$Q$33:$R$37,$B27,IF($C27="kWh",1,2))*D27</f>
        <v>0</v>
      </c>
      <c r="J27" s="58">
        <f>INDEX('Fuel Sub Calcs'!$F$15:$F$19,$B27)</f>
        <v>2020</v>
      </c>
      <c r="K27" s="58">
        <f>J27+F27</f>
        <v>2035</v>
      </c>
      <c r="L27" s="58">
        <f>J27+G27</f>
        <v>2035</v>
      </c>
      <c r="M27" s="58">
        <f t="shared" si="3"/>
        <v>-5469.2999999999993</v>
      </c>
      <c r="N27" s="57"/>
      <c r="O27" s="59">
        <f t="shared" ref="O27:AS27" si="8">$H27*O15+$I27*O21</f>
        <v>0</v>
      </c>
      <c r="P27" s="59">
        <f t="shared" si="8"/>
        <v>-364.62</v>
      </c>
      <c r="Q27" s="59">
        <f t="shared" si="8"/>
        <v>-364.62</v>
      </c>
      <c r="R27" s="59">
        <f t="shared" si="8"/>
        <v>-364.62</v>
      </c>
      <c r="S27" s="59">
        <f t="shared" si="8"/>
        <v>-364.62</v>
      </c>
      <c r="T27" s="59">
        <f t="shared" si="8"/>
        <v>-364.62</v>
      </c>
      <c r="U27" s="59">
        <f t="shared" si="8"/>
        <v>-364.62</v>
      </c>
      <c r="V27" s="59">
        <f t="shared" si="8"/>
        <v>-364.62</v>
      </c>
      <c r="W27" s="59">
        <f t="shared" si="8"/>
        <v>-364.62</v>
      </c>
      <c r="X27" s="59">
        <f t="shared" si="8"/>
        <v>-364.62</v>
      </c>
      <c r="Y27" s="59">
        <f t="shared" si="8"/>
        <v>-364.62</v>
      </c>
      <c r="Z27" s="59">
        <f t="shared" si="8"/>
        <v>-364.62</v>
      </c>
      <c r="AA27" s="59">
        <f t="shared" si="8"/>
        <v>-364.62</v>
      </c>
      <c r="AB27" s="59">
        <f t="shared" si="8"/>
        <v>-364.62</v>
      </c>
      <c r="AC27" s="59">
        <f t="shared" si="8"/>
        <v>-364.62</v>
      </c>
      <c r="AD27" s="59">
        <f t="shared" si="8"/>
        <v>-364.62</v>
      </c>
      <c r="AE27" s="59">
        <f t="shared" si="8"/>
        <v>0</v>
      </c>
      <c r="AF27" s="59">
        <f t="shared" si="8"/>
        <v>0</v>
      </c>
      <c r="AG27" s="59">
        <f t="shared" si="8"/>
        <v>0</v>
      </c>
      <c r="AH27" s="59">
        <f t="shared" si="8"/>
        <v>0</v>
      </c>
      <c r="AI27" s="59">
        <f t="shared" si="8"/>
        <v>0</v>
      </c>
      <c r="AJ27" s="59">
        <f t="shared" si="8"/>
        <v>0</v>
      </c>
      <c r="AK27" s="59">
        <f t="shared" si="8"/>
        <v>0</v>
      </c>
      <c r="AL27" s="59">
        <f t="shared" si="8"/>
        <v>0</v>
      </c>
      <c r="AM27" s="59">
        <f t="shared" si="8"/>
        <v>0</v>
      </c>
      <c r="AN27" s="59">
        <f t="shared" si="8"/>
        <v>0</v>
      </c>
      <c r="AO27" s="59">
        <f t="shared" si="8"/>
        <v>0</v>
      </c>
      <c r="AP27" s="59">
        <f t="shared" si="8"/>
        <v>0</v>
      </c>
      <c r="AQ27" s="59">
        <f t="shared" si="8"/>
        <v>0</v>
      </c>
      <c r="AR27" s="59">
        <f t="shared" si="8"/>
        <v>0</v>
      </c>
      <c r="AS27" s="59">
        <f t="shared" si="8"/>
        <v>0</v>
      </c>
    </row>
    <row r="28" spans="2:45">
      <c r="B28" s="55">
        <v>3</v>
      </c>
      <c r="C28" s="55" t="s">
        <v>93</v>
      </c>
      <c r="D28" s="57">
        <f>INDEX('Fuel Sub Calcs'!$D$15:$D$19,B28)</f>
        <v>1</v>
      </c>
      <c r="E28" s="57" t="str">
        <f>INDEX('Fuel Sub Calcs'!$C$33:$C$37,$B28)</f>
        <v>NR</v>
      </c>
      <c r="F28" s="58">
        <f>INDEX('Fuel Sub Calcs'!$N$15:$N$19,$B28)</f>
        <v>10</v>
      </c>
      <c r="G28" s="57">
        <f>INDEX('Fuel Sub Calcs'!$E$15:$E$19,$B28)</f>
        <v>10</v>
      </c>
      <c r="H28" s="57">
        <f>INDEX('Fuel Sub Calcs'!$Q$24:$R$28,$B28,IF($C28="kWh",1,2))*D28</f>
        <v>-1497.11</v>
      </c>
      <c r="I28" s="57">
        <f>INDEX('Fuel Sub Calcs'!$Q$33:$R$37,$B28,IF($C28="kWh",1,2))*D28</f>
        <v>0</v>
      </c>
      <c r="J28" s="58">
        <f>INDEX('Fuel Sub Calcs'!$F$15:$F$19,$B28)</f>
        <v>2020</v>
      </c>
      <c r="K28" s="58">
        <f>J28+F28</f>
        <v>2030</v>
      </c>
      <c r="L28" s="58">
        <f>J28+G28</f>
        <v>2030</v>
      </c>
      <c r="M28" s="58">
        <f t="shared" si="3"/>
        <v>-14971.100000000002</v>
      </c>
      <c r="N28" s="57"/>
      <c r="O28" s="59">
        <f t="shared" ref="O28:AS28" si="9">$H28*O16+$I28*O22</f>
        <v>0</v>
      </c>
      <c r="P28" s="59">
        <f t="shared" si="9"/>
        <v>-1497.11</v>
      </c>
      <c r="Q28" s="59">
        <f t="shared" si="9"/>
        <v>-1497.11</v>
      </c>
      <c r="R28" s="59">
        <f t="shared" si="9"/>
        <v>-1497.11</v>
      </c>
      <c r="S28" s="59">
        <f t="shared" si="9"/>
        <v>-1497.11</v>
      </c>
      <c r="T28" s="59">
        <f t="shared" si="9"/>
        <v>-1497.11</v>
      </c>
      <c r="U28" s="59">
        <f t="shared" si="9"/>
        <v>-1497.11</v>
      </c>
      <c r="V28" s="59">
        <f t="shared" si="9"/>
        <v>-1497.11</v>
      </c>
      <c r="W28" s="59">
        <f t="shared" si="9"/>
        <v>-1497.11</v>
      </c>
      <c r="X28" s="59">
        <f t="shared" si="9"/>
        <v>-1497.11</v>
      </c>
      <c r="Y28" s="59">
        <f t="shared" si="9"/>
        <v>-1497.11</v>
      </c>
      <c r="Z28" s="59">
        <f t="shared" si="9"/>
        <v>0</v>
      </c>
      <c r="AA28" s="59">
        <f t="shared" si="9"/>
        <v>0</v>
      </c>
      <c r="AB28" s="59">
        <f t="shared" si="9"/>
        <v>0</v>
      </c>
      <c r="AC28" s="59">
        <f t="shared" si="9"/>
        <v>0</v>
      </c>
      <c r="AD28" s="59">
        <f t="shared" si="9"/>
        <v>0</v>
      </c>
      <c r="AE28" s="59">
        <f t="shared" si="9"/>
        <v>0</v>
      </c>
      <c r="AF28" s="59">
        <f t="shared" si="9"/>
        <v>0</v>
      </c>
      <c r="AG28" s="59">
        <f t="shared" si="9"/>
        <v>0</v>
      </c>
      <c r="AH28" s="59">
        <f t="shared" si="9"/>
        <v>0</v>
      </c>
      <c r="AI28" s="59">
        <f t="shared" si="9"/>
        <v>0</v>
      </c>
      <c r="AJ28" s="59">
        <f t="shared" si="9"/>
        <v>0</v>
      </c>
      <c r="AK28" s="59">
        <f t="shared" si="9"/>
        <v>0</v>
      </c>
      <c r="AL28" s="59">
        <f t="shared" si="9"/>
        <v>0</v>
      </c>
      <c r="AM28" s="59">
        <f t="shared" si="9"/>
        <v>0</v>
      </c>
      <c r="AN28" s="59">
        <f t="shared" si="9"/>
        <v>0</v>
      </c>
      <c r="AO28" s="59">
        <f t="shared" si="9"/>
        <v>0</v>
      </c>
      <c r="AP28" s="59">
        <f t="shared" si="9"/>
        <v>0</v>
      </c>
      <c r="AQ28" s="59">
        <f t="shared" si="9"/>
        <v>0</v>
      </c>
      <c r="AR28" s="59">
        <f t="shared" si="9"/>
        <v>0</v>
      </c>
      <c r="AS28" s="59">
        <f t="shared" si="9"/>
        <v>0</v>
      </c>
    </row>
    <row r="29" spans="2:45">
      <c r="B29" s="55">
        <v>4</v>
      </c>
      <c r="C29" s="55" t="s">
        <v>93</v>
      </c>
      <c r="D29" s="57">
        <f>INDEX('Fuel Sub Calcs'!$D$15:$D$19,B29)</f>
        <v>1</v>
      </c>
      <c r="E29" s="57" t="str">
        <f>INDEX('Fuel Sub Calcs'!$C$33:$C$37,$B29)</f>
        <v>NR</v>
      </c>
      <c r="F29" s="58">
        <f>INDEX('Fuel Sub Calcs'!$N$15:$N$19,$B29)</f>
        <v>12</v>
      </c>
      <c r="G29" s="57">
        <f>INDEX('Fuel Sub Calcs'!$E$15:$E$19,$B29)</f>
        <v>12</v>
      </c>
      <c r="H29" s="57">
        <f>INDEX('Fuel Sub Calcs'!$Q$24:$R$28,$B29,IF($C29="kWh",1,2))*D29</f>
        <v>-2245.6</v>
      </c>
      <c r="I29" s="57">
        <f>INDEX('Fuel Sub Calcs'!$Q$33:$R$37,$B29,IF($C29="kWh",1,2))*D29</f>
        <v>0</v>
      </c>
      <c r="J29" s="58">
        <f>INDEX('Fuel Sub Calcs'!$F$15:$F$19,$B29)</f>
        <v>2020</v>
      </c>
      <c r="K29" s="58">
        <f>J29+F29</f>
        <v>2032</v>
      </c>
      <c r="L29" s="58">
        <f>J29+G29</f>
        <v>2032</v>
      </c>
      <c r="M29" s="58">
        <f t="shared" si="3"/>
        <v>-26947.199999999993</v>
      </c>
      <c r="N29" s="57"/>
      <c r="O29" s="59">
        <f t="shared" ref="O29:AS29" si="10">$H29*O17+$I29*O23</f>
        <v>0</v>
      </c>
      <c r="P29" s="59">
        <f t="shared" si="10"/>
        <v>-2245.6</v>
      </c>
      <c r="Q29" s="59">
        <f t="shared" si="10"/>
        <v>-2245.6</v>
      </c>
      <c r="R29" s="59">
        <f t="shared" si="10"/>
        <v>-2245.6</v>
      </c>
      <c r="S29" s="59">
        <f t="shared" si="10"/>
        <v>-2245.6</v>
      </c>
      <c r="T29" s="59">
        <f t="shared" si="10"/>
        <v>-2245.6</v>
      </c>
      <c r="U29" s="59">
        <f t="shared" si="10"/>
        <v>-2245.6</v>
      </c>
      <c r="V29" s="59">
        <f t="shared" si="10"/>
        <v>-2245.6</v>
      </c>
      <c r="W29" s="59">
        <f t="shared" si="10"/>
        <v>-2245.6</v>
      </c>
      <c r="X29" s="59">
        <f t="shared" si="10"/>
        <v>-2245.6</v>
      </c>
      <c r="Y29" s="59">
        <f t="shared" si="10"/>
        <v>-2245.6</v>
      </c>
      <c r="Z29" s="59">
        <f t="shared" si="10"/>
        <v>-2245.6</v>
      </c>
      <c r="AA29" s="59">
        <f t="shared" si="10"/>
        <v>-2245.6</v>
      </c>
      <c r="AB29" s="59">
        <f t="shared" si="10"/>
        <v>0</v>
      </c>
      <c r="AC29" s="59">
        <f t="shared" si="10"/>
        <v>0</v>
      </c>
      <c r="AD29" s="59">
        <f t="shared" si="10"/>
        <v>0</v>
      </c>
      <c r="AE29" s="59">
        <f t="shared" si="10"/>
        <v>0</v>
      </c>
      <c r="AF29" s="59">
        <f t="shared" si="10"/>
        <v>0</v>
      </c>
      <c r="AG29" s="59">
        <f t="shared" si="10"/>
        <v>0</v>
      </c>
      <c r="AH29" s="59">
        <f t="shared" si="10"/>
        <v>0</v>
      </c>
      <c r="AI29" s="59">
        <f t="shared" si="10"/>
        <v>0</v>
      </c>
      <c r="AJ29" s="59">
        <f t="shared" si="10"/>
        <v>0</v>
      </c>
      <c r="AK29" s="59">
        <f t="shared" si="10"/>
        <v>0</v>
      </c>
      <c r="AL29" s="59">
        <f t="shared" si="10"/>
        <v>0</v>
      </c>
      <c r="AM29" s="59">
        <f t="shared" si="10"/>
        <v>0</v>
      </c>
      <c r="AN29" s="59">
        <f t="shared" si="10"/>
        <v>0</v>
      </c>
      <c r="AO29" s="59">
        <f t="shared" si="10"/>
        <v>0</v>
      </c>
      <c r="AP29" s="59">
        <f t="shared" si="10"/>
        <v>0</v>
      </c>
      <c r="AQ29" s="59">
        <f t="shared" si="10"/>
        <v>0</v>
      </c>
      <c r="AR29" s="59">
        <f t="shared" si="10"/>
        <v>0</v>
      </c>
      <c r="AS29" s="59">
        <f t="shared" si="10"/>
        <v>0</v>
      </c>
    </row>
    <row r="30" spans="2:45">
      <c r="B30" s="55">
        <v>5</v>
      </c>
      <c r="C30" s="55" t="s">
        <v>93</v>
      </c>
      <c r="D30" s="57">
        <f>INDEX('Fuel Sub Calcs'!$D$15:$D$19,B30)</f>
        <v>0</v>
      </c>
      <c r="E30" s="57">
        <f>INDEX('Fuel Sub Calcs'!$C$33:$C$37,$B30)</f>
        <v>0</v>
      </c>
      <c r="F30" s="58">
        <f>INDEX('Fuel Sub Calcs'!$N$15:$N$19,$B30)</f>
        <v>0</v>
      </c>
      <c r="G30" s="57">
        <f>INDEX('Fuel Sub Calcs'!$E$15:$E$19,$B30)</f>
        <v>0</v>
      </c>
      <c r="H30" s="57">
        <f>INDEX('Fuel Sub Calcs'!$Q$24:$R$28,$B30,IF($C30="kWh",1,2))*D30</f>
        <v>0</v>
      </c>
      <c r="I30" s="57">
        <f>INDEX('Fuel Sub Calcs'!$Q$33:$R$37,$B30,IF($C30="kWh",1,2))*D30</f>
        <v>0</v>
      </c>
      <c r="J30" s="58">
        <f>INDEX('Fuel Sub Calcs'!$F$15:$F$19,$B30)</f>
        <v>0</v>
      </c>
      <c r="K30" s="58">
        <f>J30+F30</f>
        <v>0</v>
      </c>
      <c r="L30" s="58">
        <f>J30+G30</f>
        <v>0</v>
      </c>
      <c r="M30" s="58">
        <f t="shared" si="3"/>
        <v>0</v>
      </c>
      <c r="N30" s="57"/>
      <c r="O30" s="59">
        <f t="shared" ref="O30:AS30" si="11">$H30*O18+$I30*O24</f>
        <v>0</v>
      </c>
      <c r="P30" s="59">
        <f t="shared" si="11"/>
        <v>0</v>
      </c>
      <c r="Q30" s="59">
        <f t="shared" si="11"/>
        <v>0</v>
      </c>
      <c r="R30" s="59">
        <f t="shared" si="11"/>
        <v>0</v>
      </c>
      <c r="S30" s="59">
        <f t="shared" si="11"/>
        <v>0</v>
      </c>
      <c r="T30" s="59">
        <f t="shared" si="11"/>
        <v>0</v>
      </c>
      <c r="U30" s="59">
        <f t="shared" si="11"/>
        <v>0</v>
      </c>
      <c r="V30" s="59">
        <f t="shared" si="11"/>
        <v>0</v>
      </c>
      <c r="W30" s="59">
        <f t="shared" si="11"/>
        <v>0</v>
      </c>
      <c r="X30" s="59">
        <f t="shared" si="11"/>
        <v>0</v>
      </c>
      <c r="Y30" s="59">
        <f t="shared" si="11"/>
        <v>0</v>
      </c>
      <c r="Z30" s="59">
        <f t="shared" si="11"/>
        <v>0</v>
      </c>
      <c r="AA30" s="59">
        <f t="shared" si="11"/>
        <v>0</v>
      </c>
      <c r="AB30" s="59">
        <f t="shared" si="11"/>
        <v>0</v>
      </c>
      <c r="AC30" s="59">
        <f t="shared" si="11"/>
        <v>0</v>
      </c>
      <c r="AD30" s="59">
        <f t="shared" si="11"/>
        <v>0</v>
      </c>
      <c r="AE30" s="59">
        <f t="shared" si="11"/>
        <v>0</v>
      </c>
      <c r="AF30" s="59">
        <f t="shared" si="11"/>
        <v>0</v>
      </c>
      <c r="AG30" s="59">
        <f t="shared" si="11"/>
        <v>0</v>
      </c>
      <c r="AH30" s="59">
        <f t="shared" si="11"/>
        <v>0</v>
      </c>
      <c r="AI30" s="59">
        <f t="shared" si="11"/>
        <v>0</v>
      </c>
      <c r="AJ30" s="59">
        <f t="shared" si="11"/>
        <v>0</v>
      </c>
      <c r="AK30" s="59">
        <f t="shared" si="11"/>
        <v>0</v>
      </c>
      <c r="AL30" s="59">
        <f t="shared" si="11"/>
        <v>0</v>
      </c>
      <c r="AM30" s="59">
        <f t="shared" si="11"/>
        <v>0</v>
      </c>
      <c r="AN30" s="59">
        <f t="shared" si="11"/>
        <v>0</v>
      </c>
      <c r="AO30" s="59">
        <f t="shared" si="11"/>
        <v>0</v>
      </c>
      <c r="AP30" s="59">
        <f t="shared" si="11"/>
        <v>0</v>
      </c>
      <c r="AQ30" s="59">
        <f t="shared" si="11"/>
        <v>0</v>
      </c>
      <c r="AR30" s="59">
        <f t="shared" si="11"/>
        <v>0</v>
      </c>
      <c r="AS30" s="59">
        <f t="shared" si="11"/>
        <v>0</v>
      </c>
    </row>
    <row r="31" spans="2:45" s="57" customFormat="1">
      <c r="F31" s="58"/>
      <c r="J31" s="58"/>
      <c r="K31" s="58"/>
      <c r="L31" s="58"/>
      <c r="M31" s="58"/>
    </row>
    <row r="32" spans="2:45">
      <c r="B32" s="55">
        <v>1</v>
      </c>
      <c r="C32" s="55" t="s">
        <v>105</v>
      </c>
      <c r="D32" s="57">
        <f>INDEX('Fuel Sub Calcs'!$D$15:$D$19,B32)</f>
        <v>1</v>
      </c>
      <c r="E32" s="57" t="str">
        <f>INDEX('Fuel Sub Calcs'!$C$33:$C$37,$B32)</f>
        <v>NR</v>
      </c>
      <c r="F32" s="58">
        <f>INDEX('Fuel Sub Calcs'!$N$15:$N$19,$B32)</f>
        <v>15</v>
      </c>
      <c r="G32" s="57">
        <f>INDEX('Fuel Sub Calcs'!$E$15:$E$19,$B32)</f>
        <v>15</v>
      </c>
      <c r="H32" s="57">
        <f>INDEX('Fuel Sub Calcs'!$Q$24:$R$28,$B32,IF($C32="kWh",1,2))*D32</f>
        <v>8.08</v>
      </c>
      <c r="I32" s="57">
        <f>INDEX('Fuel Sub Calcs'!$Q$33:$R$37,$B32,IF($C32="kWh",1,2))*D32</f>
        <v>0</v>
      </c>
      <c r="J32" s="58">
        <f>INDEX('Fuel Sub Calcs'!$F$15:$F$19,$B32)</f>
        <v>2020</v>
      </c>
      <c r="K32" s="58">
        <f>J32+F32</f>
        <v>2035</v>
      </c>
      <c r="L32" s="58">
        <f>J32+G32</f>
        <v>2035</v>
      </c>
      <c r="M32" s="58">
        <f t="shared" si="3"/>
        <v>121.19999999999999</v>
      </c>
      <c r="N32" s="57"/>
      <c r="O32" s="59">
        <f>$H32*O14+$I32*O20</f>
        <v>0</v>
      </c>
      <c r="P32" s="59">
        <f t="shared" ref="P32:AS32" si="12">$H32*P14+$I32*P20</f>
        <v>8.08</v>
      </c>
      <c r="Q32" s="59">
        <f t="shared" si="12"/>
        <v>8.08</v>
      </c>
      <c r="R32" s="59">
        <f t="shared" si="12"/>
        <v>8.08</v>
      </c>
      <c r="S32" s="59">
        <f t="shared" si="12"/>
        <v>8.08</v>
      </c>
      <c r="T32" s="59">
        <f t="shared" si="12"/>
        <v>8.08</v>
      </c>
      <c r="U32" s="59">
        <f t="shared" si="12"/>
        <v>8.08</v>
      </c>
      <c r="V32" s="59">
        <f t="shared" si="12"/>
        <v>8.08</v>
      </c>
      <c r="W32" s="59">
        <f t="shared" si="12"/>
        <v>8.08</v>
      </c>
      <c r="X32" s="59">
        <f t="shared" si="12"/>
        <v>8.08</v>
      </c>
      <c r="Y32" s="59">
        <f t="shared" si="12"/>
        <v>8.08</v>
      </c>
      <c r="Z32" s="59">
        <f t="shared" si="12"/>
        <v>8.08</v>
      </c>
      <c r="AA32" s="59">
        <f t="shared" si="12"/>
        <v>8.08</v>
      </c>
      <c r="AB32" s="59">
        <f t="shared" si="12"/>
        <v>8.08</v>
      </c>
      <c r="AC32" s="59">
        <f t="shared" si="12"/>
        <v>8.08</v>
      </c>
      <c r="AD32" s="59">
        <f t="shared" si="12"/>
        <v>8.08</v>
      </c>
      <c r="AE32" s="59">
        <f t="shared" si="12"/>
        <v>0</v>
      </c>
      <c r="AF32" s="59">
        <f t="shared" si="12"/>
        <v>0</v>
      </c>
      <c r="AG32" s="59">
        <f t="shared" si="12"/>
        <v>0</v>
      </c>
      <c r="AH32" s="59">
        <f t="shared" si="12"/>
        <v>0</v>
      </c>
      <c r="AI32" s="59">
        <f t="shared" si="12"/>
        <v>0</v>
      </c>
      <c r="AJ32" s="59">
        <f t="shared" si="12"/>
        <v>0</v>
      </c>
      <c r="AK32" s="59">
        <f t="shared" si="12"/>
        <v>0</v>
      </c>
      <c r="AL32" s="59">
        <f t="shared" si="12"/>
        <v>0</v>
      </c>
      <c r="AM32" s="59">
        <f t="shared" si="12"/>
        <v>0</v>
      </c>
      <c r="AN32" s="59">
        <f t="shared" si="12"/>
        <v>0</v>
      </c>
      <c r="AO32" s="59">
        <f t="shared" si="12"/>
        <v>0</v>
      </c>
      <c r="AP32" s="59">
        <f t="shared" si="12"/>
        <v>0</v>
      </c>
      <c r="AQ32" s="59">
        <f t="shared" si="12"/>
        <v>0</v>
      </c>
      <c r="AR32" s="59">
        <f t="shared" si="12"/>
        <v>0</v>
      </c>
      <c r="AS32" s="59">
        <f t="shared" si="12"/>
        <v>0</v>
      </c>
    </row>
    <row r="33" spans="2:45">
      <c r="B33" s="55">
        <v>2</v>
      </c>
      <c r="C33" s="55" t="s">
        <v>105</v>
      </c>
      <c r="D33" s="57">
        <f>INDEX('Fuel Sub Calcs'!$D$15:$D$19,B33)</f>
        <v>1</v>
      </c>
      <c r="E33" s="57" t="str">
        <f>INDEX('Fuel Sub Calcs'!$C$33:$C$37,$B33)</f>
        <v>NR</v>
      </c>
      <c r="F33" s="58">
        <f>INDEX('Fuel Sub Calcs'!$N$15:$N$19,$B33)</f>
        <v>15</v>
      </c>
      <c r="G33" s="57">
        <f>INDEX('Fuel Sub Calcs'!$E$15:$E$19,$B33)</f>
        <v>15</v>
      </c>
      <c r="H33" s="57">
        <f>INDEX('Fuel Sub Calcs'!$Q$24:$R$28,$B33,IF($C33="kWh",1,2))*D33</f>
        <v>59.98</v>
      </c>
      <c r="I33" s="57">
        <f>INDEX('Fuel Sub Calcs'!$Q$33:$R$37,$B33,IF($C33="kWh",1,2))*D33</f>
        <v>0</v>
      </c>
      <c r="J33" s="58">
        <f>INDEX('Fuel Sub Calcs'!$F$15:$F$19,$B33)</f>
        <v>2020</v>
      </c>
      <c r="K33" s="58">
        <f>J33+F33</f>
        <v>2035</v>
      </c>
      <c r="L33" s="58">
        <f>J33+G33</f>
        <v>2035</v>
      </c>
      <c r="M33" s="58">
        <f t="shared" si="3"/>
        <v>899.70000000000016</v>
      </c>
      <c r="N33" s="57"/>
      <c r="O33" s="59">
        <f t="shared" ref="O33:AS33" si="13">$H33*O15+$I33*O21</f>
        <v>0</v>
      </c>
      <c r="P33" s="59">
        <f t="shared" si="13"/>
        <v>59.98</v>
      </c>
      <c r="Q33" s="59">
        <f t="shared" si="13"/>
        <v>59.98</v>
      </c>
      <c r="R33" s="59">
        <f t="shared" si="13"/>
        <v>59.98</v>
      </c>
      <c r="S33" s="59">
        <f t="shared" si="13"/>
        <v>59.98</v>
      </c>
      <c r="T33" s="59">
        <f t="shared" si="13"/>
        <v>59.98</v>
      </c>
      <c r="U33" s="59">
        <f t="shared" si="13"/>
        <v>59.98</v>
      </c>
      <c r="V33" s="59">
        <f t="shared" si="13"/>
        <v>59.98</v>
      </c>
      <c r="W33" s="59">
        <f t="shared" si="13"/>
        <v>59.98</v>
      </c>
      <c r="X33" s="59">
        <f t="shared" si="13"/>
        <v>59.98</v>
      </c>
      <c r="Y33" s="59">
        <f t="shared" si="13"/>
        <v>59.98</v>
      </c>
      <c r="Z33" s="59">
        <f t="shared" si="13"/>
        <v>59.98</v>
      </c>
      <c r="AA33" s="59">
        <f t="shared" si="13"/>
        <v>59.98</v>
      </c>
      <c r="AB33" s="59">
        <f t="shared" si="13"/>
        <v>59.98</v>
      </c>
      <c r="AC33" s="59">
        <f t="shared" si="13"/>
        <v>59.98</v>
      </c>
      <c r="AD33" s="59">
        <f t="shared" si="13"/>
        <v>59.98</v>
      </c>
      <c r="AE33" s="59">
        <f t="shared" si="13"/>
        <v>0</v>
      </c>
      <c r="AF33" s="59">
        <f t="shared" si="13"/>
        <v>0</v>
      </c>
      <c r="AG33" s="59">
        <f t="shared" si="13"/>
        <v>0</v>
      </c>
      <c r="AH33" s="59">
        <f t="shared" si="13"/>
        <v>0</v>
      </c>
      <c r="AI33" s="59">
        <f t="shared" si="13"/>
        <v>0</v>
      </c>
      <c r="AJ33" s="59">
        <f t="shared" si="13"/>
        <v>0</v>
      </c>
      <c r="AK33" s="59">
        <f t="shared" si="13"/>
        <v>0</v>
      </c>
      <c r="AL33" s="59">
        <f t="shared" si="13"/>
        <v>0</v>
      </c>
      <c r="AM33" s="59">
        <f t="shared" si="13"/>
        <v>0</v>
      </c>
      <c r="AN33" s="59">
        <f t="shared" si="13"/>
        <v>0</v>
      </c>
      <c r="AO33" s="59">
        <f t="shared" si="13"/>
        <v>0</v>
      </c>
      <c r="AP33" s="59">
        <f t="shared" si="13"/>
        <v>0</v>
      </c>
      <c r="AQ33" s="59">
        <f t="shared" si="13"/>
        <v>0</v>
      </c>
      <c r="AR33" s="59">
        <f t="shared" si="13"/>
        <v>0</v>
      </c>
      <c r="AS33" s="59">
        <f t="shared" si="13"/>
        <v>0</v>
      </c>
    </row>
    <row r="34" spans="2:45">
      <c r="B34" s="55">
        <v>3</v>
      </c>
      <c r="C34" s="55" t="s">
        <v>105</v>
      </c>
      <c r="D34" s="57">
        <f>INDEX('Fuel Sub Calcs'!$D$15:$D$19,B34)</f>
        <v>1</v>
      </c>
      <c r="E34" s="57" t="str">
        <f>INDEX('Fuel Sub Calcs'!$C$33:$C$37,$B34)</f>
        <v>NR</v>
      </c>
      <c r="F34" s="58">
        <f>INDEX('Fuel Sub Calcs'!$N$15:$N$19,$B34)</f>
        <v>10</v>
      </c>
      <c r="G34" s="57">
        <f>INDEX('Fuel Sub Calcs'!$E$15:$E$19,$B34)</f>
        <v>10</v>
      </c>
      <c r="H34" s="57">
        <f>INDEX('Fuel Sub Calcs'!$Q$24:$R$28,$B34,IF($C34="kWh",1,2))*D34</f>
        <v>180.48645231515928</v>
      </c>
      <c r="I34" s="57">
        <f>INDEX('Fuel Sub Calcs'!$Q$33:$R$37,$B34,IF($C34="kWh",1,2))*D34</f>
        <v>0</v>
      </c>
      <c r="J34" s="58">
        <f>INDEX('Fuel Sub Calcs'!$F$15:$F$19,$B34)</f>
        <v>2020</v>
      </c>
      <c r="K34" s="58">
        <f>J34+F34</f>
        <v>2030</v>
      </c>
      <c r="L34" s="58">
        <f>J34+G34</f>
        <v>2030</v>
      </c>
      <c r="M34" s="58">
        <f t="shared" si="3"/>
        <v>1804.8645231515932</v>
      </c>
      <c r="N34" s="57"/>
      <c r="O34" s="59">
        <f t="shared" ref="O34:AS34" si="14">$H34*O16+$I34*O22</f>
        <v>0</v>
      </c>
      <c r="P34" s="59">
        <f t="shared" si="14"/>
        <v>180.48645231515928</v>
      </c>
      <c r="Q34" s="59">
        <f t="shared" si="14"/>
        <v>180.48645231515928</v>
      </c>
      <c r="R34" s="59">
        <f t="shared" si="14"/>
        <v>180.48645231515928</v>
      </c>
      <c r="S34" s="59">
        <f t="shared" si="14"/>
        <v>180.48645231515928</v>
      </c>
      <c r="T34" s="59">
        <f t="shared" si="14"/>
        <v>180.48645231515928</v>
      </c>
      <c r="U34" s="59">
        <f t="shared" si="14"/>
        <v>180.48645231515928</v>
      </c>
      <c r="V34" s="59">
        <f t="shared" si="14"/>
        <v>180.48645231515928</v>
      </c>
      <c r="W34" s="59">
        <f t="shared" si="14"/>
        <v>180.48645231515928</v>
      </c>
      <c r="X34" s="59">
        <f t="shared" si="14"/>
        <v>180.48645231515928</v>
      </c>
      <c r="Y34" s="59">
        <f t="shared" si="14"/>
        <v>180.48645231515928</v>
      </c>
      <c r="Z34" s="59">
        <f t="shared" si="14"/>
        <v>0</v>
      </c>
      <c r="AA34" s="59">
        <f t="shared" si="14"/>
        <v>0</v>
      </c>
      <c r="AB34" s="59">
        <f t="shared" si="14"/>
        <v>0</v>
      </c>
      <c r="AC34" s="59">
        <f t="shared" si="14"/>
        <v>0</v>
      </c>
      <c r="AD34" s="59">
        <f t="shared" si="14"/>
        <v>0</v>
      </c>
      <c r="AE34" s="59">
        <f t="shared" si="14"/>
        <v>0</v>
      </c>
      <c r="AF34" s="59">
        <f t="shared" si="14"/>
        <v>0</v>
      </c>
      <c r="AG34" s="59">
        <f t="shared" si="14"/>
        <v>0</v>
      </c>
      <c r="AH34" s="59">
        <f t="shared" si="14"/>
        <v>0</v>
      </c>
      <c r="AI34" s="59">
        <f t="shared" si="14"/>
        <v>0</v>
      </c>
      <c r="AJ34" s="59">
        <f t="shared" si="14"/>
        <v>0</v>
      </c>
      <c r="AK34" s="59">
        <f t="shared" si="14"/>
        <v>0</v>
      </c>
      <c r="AL34" s="59">
        <f t="shared" si="14"/>
        <v>0</v>
      </c>
      <c r="AM34" s="59">
        <f t="shared" si="14"/>
        <v>0</v>
      </c>
      <c r="AN34" s="59">
        <f t="shared" si="14"/>
        <v>0</v>
      </c>
      <c r="AO34" s="59">
        <f t="shared" si="14"/>
        <v>0</v>
      </c>
      <c r="AP34" s="59">
        <f t="shared" si="14"/>
        <v>0</v>
      </c>
      <c r="AQ34" s="59">
        <f t="shared" si="14"/>
        <v>0</v>
      </c>
      <c r="AR34" s="59">
        <f t="shared" si="14"/>
        <v>0</v>
      </c>
      <c r="AS34" s="59">
        <f t="shared" si="14"/>
        <v>0</v>
      </c>
    </row>
    <row r="35" spans="2:45">
      <c r="B35" s="55">
        <v>4</v>
      </c>
      <c r="C35" s="55" t="s">
        <v>105</v>
      </c>
      <c r="D35" s="57">
        <f>INDEX('Fuel Sub Calcs'!$D$15:$D$19,B35)</f>
        <v>1</v>
      </c>
      <c r="E35" s="57" t="str">
        <f>INDEX('Fuel Sub Calcs'!$C$33:$C$37,$B35)</f>
        <v>NR</v>
      </c>
      <c r="F35" s="58">
        <f>INDEX('Fuel Sub Calcs'!$N$15:$N$19,$B35)</f>
        <v>12</v>
      </c>
      <c r="G35" s="57">
        <f>INDEX('Fuel Sub Calcs'!$E$15:$E$19,$B35)</f>
        <v>12</v>
      </c>
      <c r="H35" s="57">
        <f>INDEX('Fuel Sub Calcs'!$Q$24:$R$28,$B35,IF($C35="kWh",1,2))*D35</f>
        <v>2759.3999999999996</v>
      </c>
      <c r="I35" s="57">
        <f>INDEX('Fuel Sub Calcs'!$Q$33:$R$37,$B35,IF($C35="kWh",1,2))*D35</f>
        <v>0</v>
      </c>
      <c r="J35" s="58">
        <f>INDEX('Fuel Sub Calcs'!$F$15:$F$19,$B35)</f>
        <v>2020</v>
      </c>
      <c r="K35" s="58">
        <f>J35+F35</f>
        <v>2032</v>
      </c>
      <c r="L35" s="58">
        <f>J35+G35</f>
        <v>2032</v>
      </c>
      <c r="M35" s="58">
        <f t="shared" si="3"/>
        <v>33112.800000000003</v>
      </c>
      <c r="N35" s="57"/>
      <c r="O35" s="59">
        <f t="shared" ref="O35:AS35" si="15">$H35*O17+$I35*O23</f>
        <v>0</v>
      </c>
      <c r="P35" s="59">
        <f t="shared" si="15"/>
        <v>2759.3999999999996</v>
      </c>
      <c r="Q35" s="59">
        <f t="shared" si="15"/>
        <v>2759.3999999999996</v>
      </c>
      <c r="R35" s="59">
        <f t="shared" si="15"/>
        <v>2759.3999999999996</v>
      </c>
      <c r="S35" s="59">
        <f t="shared" si="15"/>
        <v>2759.3999999999996</v>
      </c>
      <c r="T35" s="59">
        <f t="shared" si="15"/>
        <v>2759.3999999999996</v>
      </c>
      <c r="U35" s="59">
        <f t="shared" si="15"/>
        <v>2759.3999999999996</v>
      </c>
      <c r="V35" s="59">
        <f t="shared" si="15"/>
        <v>2759.3999999999996</v>
      </c>
      <c r="W35" s="59">
        <f t="shared" si="15"/>
        <v>2759.3999999999996</v>
      </c>
      <c r="X35" s="59">
        <f t="shared" si="15"/>
        <v>2759.3999999999996</v>
      </c>
      <c r="Y35" s="59">
        <f t="shared" si="15"/>
        <v>2759.3999999999996</v>
      </c>
      <c r="Z35" s="59">
        <f t="shared" si="15"/>
        <v>2759.3999999999996</v>
      </c>
      <c r="AA35" s="59">
        <f t="shared" si="15"/>
        <v>2759.3999999999996</v>
      </c>
      <c r="AB35" s="59">
        <f t="shared" si="15"/>
        <v>0</v>
      </c>
      <c r="AC35" s="59">
        <f t="shared" si="15"/>
        <v>0</v>
      </c>
      <c r="AD35" s="59">
        <f t="shared" si="15"/>
        <v>0</v>
      </c>
      <c r="AE35" s="59">
        <f t="shared" si="15"/>
        <v>0</v>
      </c>
      <c r="AF35" s="59">
        <f t="shared" si="15"/>
        <v>0</v>
      </c>
      <c r="AG35" s="59">
        <f t="shared" si="15"/>
        <v>0</v>
      </c>
      <c r="AH35" s="59">
        <f t="shared" si="15"/>
        <v>0</v>
      </c>
      <c r="AI35" s="59">
        <f t="shared" si="15"/>
        <v>0</v>
      </c>
      <c r="AJ35" s="59">
        <f t="shared" si="15"/>
        <v>0</v>
      </c>
      <c r="AK35" s="59">
        <f t="shared" si="15"/>
        <v>0</v>
      </c>
      <c r="AL35" s="59">
        <f t="shared" si="15"/>
        <v>0</v>
      </c>
      <c r="AM35" s="59">
        <f t="shared" si="15"/>
        <v>0</v>
      </c>
      <c r="AN35" s="59">
        <f t="shared" si="15"/>
        <v>0</v>
      </c>
      <c r="AO35" s="59">
        <f t="shared" si="15"/>
        <v>0</v>
      </c>
      <c r="AP35" s="59">
        <f t="shared" si="15"/>
        <v>0</v>
      </c>
      <c r="AQ35" s="59">
        <f t="shared" si="15"/>
        <v>0</v>
      </c>
      <c r="AR35" s="59">
        <f t="shared" si="15"/>
        <v>0</v>
      </c>
      <c r="AS35" s="59">
        <f t="shared" si="15"/>
        <v>0</v>
      </c>
    </row>
    <row r="36" spans="2:45">
      <c r="B36" s="55">
        <v>5</v>
      </c>
      <c r="C36" s="55" t="s">
        <v>105</v>
      </c>
      <c r="D36" s="57">
        <f>INDEX('Fuel Sub Calcs'!$D$15:$D$19,B36)</f>
        <v>0</v>
      </c>
      <c r="E36" s="57">
        <f>INDEX('Fuel Sub Calcs'!$C$33:$C$37,$B36)</f>
        <v>0</v>
      </c>
      <c r="F36" s="58">
        <f>INDEX('Fuel Sub Calcs'!$N$15:$N$19,$B36)</f>
        <v>0</v>
      </c>
      <c r="G36" s="57">
        <f>INDEX('Fuel Sub Calcs'!$E$15:$E$19,$B36)</f>
        <v>0</v>
      </c>
      <c r="H36" s="57">
        <f>INDEX('Fuel Sub Calcs'!$Q$24:$R$28,$B36,IF($C36="kWh",1,2))*D36</f>
        <v>0</v>
      </c>
      <c r="I36" s="57">
        <f>INDEX('Fuel Sub Calcs'!$Q$33:$R$37,$B36,IF($C36="kWh",1,2))*D36</f>
        <v>0</v>
      </c>
      <c r="J36" s="58">
        <f>INDEX('Fuel Sub Calcs'!$F$15:$F$19,$B36)</f>
        <v>0</v>
      </c>
      <c r="K36" s="58">
        <f>J36+F36</f>
        <v>0</v>
      </c>
      <c r="L36" s="58">
        <f>J36+G36</f>
        <v>0</v>
      </c>
      <c r="M36" s="58">
        <f t="shared" si="3"/>
        <v>0</v>
      </c>
      <c r="N36" s="57"/>
      <c r="O36" s="59">
        <f t="shared" ref="O36:AS36" si="16">$H36*O18+$I36*O24</f>
        <v>0</v>
      </c>
      <c r="P36" s="59">
        <f t="shared" si="16"/>
        <v>0</v>
      </c>
      <c r="Q36" s="59">
        <f t="shared" si="16"/>
        <v>0</v>
      </c>
      <c r="R36" s="59">
        <f t="shared" si="16"/>
        <v>0</v>
      </c>
      <c r="S36" s="59">
        <f t="shared" si="16"/>
        <v>0</v>
      </c>
      <c r="T36" s="59">
        <f t="shared" si="16"/>
        <v>0</v>
      </c>
      <c r="U36" s="59">
        <f t="shared" si="16"/>
        <v>0</v>
      </c>
      <c r="V36" s="59">
        <f t="shared" si="16"/>
        <v>0</v>
      </c>
      <c r="W36" s="59">
        <f t="shared" si="16"/>
        <v>0</v>
      </c>
      <c r="X36" s="59">
        <f t="shared" si="16"/>
        <v>0</v>
      </c>
      <c r="Y36" s="59">
        <f t="shared" si="16"/>
        <v>0</v>
      </c>
      <c r="Z36" s="59">
        <f t="shared" si="16"/>
        <v>0</v>
      </c>
      <c r="AA36" s="59">
        <f t="shared" si="16"/>
        <v>0</v>
      </c>
      <c r="AB36" s="59">
        <f t="shared" si="16"/>
        <v>0</v>
      </c>
      <c r="AC36" s="59">
        <f t="shared" si="16"/>
        <v>0</v>
      </c>
      <c r="AD36" s="59">
        <f t="shared" si="16"/>
        <v>0</v>
      </c>
      <c r="AE36" s="59">
        <f t="shared" si="16"/>
        <v>0</v>
      </c>
      <c r="AF36" s="59">
        <f t="shared" si="16"/>
        <v>0</v>
      </c>
      <c r="AG36" s="59">
        <f t="shared" si="16"/>
        <v>0</v>
      </c>
      <c r="AH36" s="59">
        <f t="shared" si="16"/>
        <v>0</v>
      </c>
      <c r="AI36" s="59">
        <f t="shared" si="16"/>
        <v>0</v>
      </c>
      <c r="AJ36" s="59">
        <f t="shared" si="16"/>
        <v>0</v>
      </c>
      <c r="AK36" s="59">
        <f t="shared" si="16"/>
        <v>0</v>
      </c>
      <c r="AL36" s="59">
        <f t="shared" si="16"/>
        <v>0</v>
      </c>
      <c r="AM36" s="59">
        <f t="shared" si="16"/>
        <v>0</v>
      </c>
      <c r="AN36" s="59">
        <f t="shared" si="16"/>
        <v>0</v>
      </c>
      <c r="AO36" s="59">
        <f t="shared" si="16"/>
        <v>0</v>
      </c>
      <c r="AP36" s="59">
        <f t="shared" si="16"/>
        <v>0</v>
      </c>
      <c r="AQ36" s="59">
        <f t="shared" si="16"/>
        <v>0</v>
      </c>
      <c r="AR36" s="59">
        <f t="shared" si="16"/>
        <v>0</v>
      </c>
      <c r="AS36" s="59">
        <f t="shared" si="16"/>
        <v>0</v>
      </c>
    </row>
  </sheetData>
  <autoFilter ref="B13:AS36" xr:uid="{00000000-0009-0000-0000-000003000000}"/>
  <sortState xmlns:xlrd2="http://schemas.microsoft.com/office/spreadsheetml/2017/richdata2" ref="B26:L36">
    <sortCondition ref="C26:C36"/>
    <sortCondition ref="B26:B36"/>
  </sortState>
  <mergeCells count="6">
    <mergeCell ref="H12:I12"/>
    <mergeCell ref="D5:M5"/>
    <mergeCell ref="D6:M6"/>
    <mergeCell ref="D7:M7"/>
    <mergeCell ref="D8:M8"/>
    <mergeCell ref="D9:M9"/>
  </mergeCells>
  <conditionalFormatting sqref="O14:AS18">
    <cfRule type="colorScale" priority="2">
      <colorScale>
        <cfvo type="min"/>
        <cfvo type="max"/>
        <color rgb="FFFCFCFF"/>
        <color rgb="FF63BE7B"/>
      </colorScale>
    </cfRule>
  </conditionalFormatting>
  <conditionalFormatting sqref="O20:AS24">
    <cfRule type="colorScale" priority="1">
      <colorScale>
        <cfvo type="min"/>
        <cfvo type="max"/>
        <color rgb="FFFCFCFF"/>
        <color rgb="FFF8696B"/>
      </colorScale>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3:C15"/>
  <sheetViews>
    <sheetView showGridLines="0" workbookViewId="0">
      <selection activeCell="E3" sqref="E3"/>
    </sheetView>
  </sheetViews>
  <sheetFormatPr defaultRowHeight="15"/>
  <cols>
    <col min="2" max="2" width="46.85546875" bestFit="1" customWidth="1"/>
    <col min="3" max="3" width="2.42578125" customWidth="1"/>
    <col min="4" max="5" width="34.7109375" bestFit="1" customWidth="1"/>
  </cols>
  <sheetData>
    <row r="3" spans="2:3" ht="26.25">
      <c r="B3" s="36" t="s">
        <v>118</v>
      </c>
      <c r="C3" s="37"/>
    </row>
    <row r="4" spans="2:3" ht="15.75">
      <c r="B4" s="38" t="s">
        <v>119</v>
      </c>
      <c r="C4" s="37"/>
    </row>
    <row r="5" spans="2:3">
      <c r="B5" s="39" t="s">
        <v>120</v>
      </c>
      <c r="C5" s="37"/>
    </row>
    <row r="6" spans="2:3">
      <c r="B6" s="37"/>
      <c r="C6" s="37"/>
    </row>
    <row r="7" spans="2:3">
      <c r="B7" s="37"/>
      <c r="C7" s="37"/>
    </row>
    <row r="8" spans="2:3">
      <c r="B8" s="37"/>
      <c r="C8" s="37"/>
    </row>
    <row r="9" spans="2:3">
      <c r="B9" s="37"/>
    </row>
    <row r="10" spans="2:3">
      <c r="B10" s="37"/>
    </row>
    <row r="11" spans="2:3">
      <c r="B11" s="41" t="s">
        <v>121</v>
      </c>
    </row>
    <row r="12" spans="2:3">
      <c r="B12" s="41" t="s">
        <v>122</v>
      </c>
    </row>
    <row r="13" spans="2:3">
      <c r="B13" s="41" t="s">
        <v>123</v>
      </c>
    </row>
    <row r="14" spans="2:3">
      <c r="B14" s="41" t="s">
        <v>124</v>
      </c>
    </row>
    <row r="15" spans="2:3">
      <c r="B15" s="40">
        <v>43728</v>
      </c>
    </row>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4:E37"/>
  <sheetViews>
    <sheetView showGridLines="0" topLeftCell="A2" zoomScaleNormal="100" workbookViewId="0">
      <selection activeCell="D33" sqref="D33"/>
    </sheetView>
  </sheetViews>
  <sheetFormatPr defaultRowHeight="15"/>
  <cols>
    <col min="2" max="2" width="5.85546875" bestFit="1" customWidth="1"/>
    <col min="3" max="3" width="19.85546875" customWidth="1"/>
    <col min="4" max="4" width="19" customWidth="1"/>
    <col min="5" max="5" width="22" customWidth="1"/>
  </cols>
  <sheetData>
    <row r="4" spans="2:5">
      <c r="B4" s="160" t="s">
        <v>125</v>
      </c>
      <c r="C4" s="161"/>
      <c r="D4" s="162"/>
    </row>
    <row r="5" spans="2:5" s="34" customFormat="1" ht="30">
      <c r="B5" s="35" t="s">
        <v>108</v>
      </c>
      <c r="C5" s="51" t="s">
        <v>126</v>
      </c>
      <c r="D5" s="52" t="s">
        <v>127</v>
      </c>
      <c r="E5" s="93" t="s">
        <v>128</v>
      </c>
    </row>
    <row r="6" spans="2:5">
      <c r="B6" s="27">
        <v>2019</v>
      </c>
      <c r="C6" s="28">
        <f t="array" ref="C6:C36">TRANSPOSE('Long-run Emissions Inputs'!E18:AI18)</f>
        <v>0.21501453387094571</v>
      </c>
      <c r="D6" s="29">
        <f t="array" ref="D6:D36">TRANSPOSE('Long-run Emissions Inputs'!E20:AI20)</f>
        <v>3675.4621174520635</v>
      </c>
      <c r="E6" s="46">
        <f t="shared" ref="E6:E36" si="0">C6/Short_Ton_per_Metric_Tonne</f>
        <v>0.19505813597894034</v>
      </c>
    </row>
    <row r="7" spans="2:5">
      <c r="B7" s="27">
        <v>2020</v>
      </c>
      <c r="C7" s="28">
        <v>0.20727519799024019</v>
      </c>
      <c r="D7" s="29">
        <v>3543.1657776109432</v>
      </c>
      <c r="E7" s="46">
        <f t="shared" si="0"/>
        <v>0.18803712022048263</v>
      </c>
    </row>
    <row r="8" spans="2:5">
      <c r="B8" s="27">
        <v>2021</v>
      </c>
      <c r="C8" s="28">
        <v>0.19953586210953467</v>
      </c>
      <c r="D8" s="29">
        <v>3410.869437769823</v>
      </c>
      <c r="E8" s="46">
        <f t="shared" si="0"/>
        <v>0.18101610446202493</v>
      </c>
    </row>
    <row r="9" spans="2:5">
      <c r="B9" s="27">
        <v>2022</v>
      </c>
      <c r="C9" s="28">
        <v>0.19179652622882915</v>
      </c>
      <c r="D9" s="29">
        <v>3278.5730979287032</v>
      </c>
      <c r="E9" s="46">
        <f t="shared" si="0"/>
        <v>0.1739950887035672</v>
      </c>
    </row>
    <row r="10" spans="2:5">
      <c r="B10" s="27">
        <v>2023</v>
      </c>
      <c r="C10" s="28">
        <v>0.19922183495506099</v>
      </c>
      <c r="D10" s="29">
        <v>3405.5014522232646</v>
      </c>
      <c r="E10" s="46">
        <f t="shared" si="0"/>
        <v>0.18073122348074588</v>
      </c>
    </row>
    <row r="11" spans="2:5">
      <c r="B11" s="27">
        <v>2024</v>
      </c>
      <c r="C11" s="28">
        <v>0.20664714368129283</v>
      </c>
      <c r="D11" s="29">
        <v>3532.4298065178259</v>
      </c>
      <c r="E11" s="46">
        <f t="shared" si="0"/>
        <v>0.1874673582579246</v>
      </c>
    </row>
    <row r="12" spans="2:5">
      <c r="B12" s="27">
        <v>2025</v>
      </c>
      <c r="C12" s="28">
        <v>0.21407245240752468</v>
      </c>
      <c r="D12" s="29">
        <v>3659.3581608123873</v>
      </c>
      <c r="E12" s="46">
        <f t="shared" si="0"/>
        <v>0.19420349303510329</v>
      </c>
    </row>
    <row r="13" spans="2:5">
      <c r="B13" s="27">
        <v>2026</v>
      </c>
      <c r="C13" s="28">
        <v>0.22149776113375649</v>
      </c>
      <c r="D13" s="29">
        <v>3786.2865151069482</v>
      </c>
      <c r="E13" s="46">
        <f t="shared" si="0"/>
        <v>0.20093962781228195</v>
      </c>
    </row>
    <row r="14" spans="2:5">
      <c r="B14" s="27">
        <v>2027</v>
      </c>
      <c r="C14" s="28">
        <v>0.21237244774647354</v>
      </c>
      <c r="D14" s="29">
        <v>3630.2982520764704</v>
      </c>
      <c r="E14" s="46">
        <f t="shared" si="0"/>
        <v>0.19266127291458263</v>
      </c>
    </row>
    <row r="15" spans="2:5">
      <c r="B15" s="27">
        <v>2028</v>
      </c>
      <c r="C15" s="28">
        <v>0.20324713435919059</v>
      </c>
      <c r="D15" s="29">
        <v>3474.3099890459926</v>
      </c>
      <c r="E15" s="46">
        <f t="shared" si="0"/>
        <v>0.18438291801688328</v>
      </c>
    </row>
    <row r="16" spans="2:5">
      <c r="B16" s="27">
        <v>2029</v>
      </c>
      <c r="C16" s="28">
        <v>0.19412182097190764</v>
      </c>
      <c r="D16" s="29">
        <v>3318.3217260155147</v>
      </c>
      <c r="E16" s="46">
        <f t="shared" si="0"/>
        <v>0.17610456311918393</v>
      </c>
    </row>
    <row r="17" spans="2:5">
      <c r="B17" s="27">
        <v>2030</v>
      </c>
      <c r="C17" s="28">
        <v>0.18499650758462466</v>
      </c>
      <c r="D17" s="29">
        <v>3162.3334629850369</v>
      </c>
      <c r="E17" s="46">
        <f t="shared" si="0"/>
        <v>0.16782620822148459</v>
      </c>
    </row>
    <row r="18" spans="2:5">
      <c r="B18" s="27">
        <v>2031</v>
      </c>
      <c r="C18" s="28">
        <v>0.17458834880518451</v>
      </c>
      <c r="D18" s="29">
        <v>2984.4162188920427</v>
      </c>
      <c r="E18" s="46">
        <f t="shared" si="0"/>
        <v>0.15838407417621589</v>
      </c>
    </row>
    <row r="19" spans="2:5">
      <c r="B19" s="27">
        <v>2032</v>
      </c>
      <c r="C19" s="28">
        <v>0.16418019002574435</v>
      </c>
      <c r="D19" s="29">
        <v>2806.4989747990485</v>
      </c>
      <c r="E19" s="46">
        <f t="shared" si="0"/>
        <v>0.14894194013094716</v>
      </c>
    </row>
    <row r="20" spans="2:5">
      <c r="B20" s="27">
        <v>2033</v>
      </c>
      <c r="C20" s="28">
        <v>0.1537720312463042</v>
      </c>
      <c r="D20" s="29">
        <v>2628.5817307060543</v>
      </c>
      <c r="E20" s="46">
        <f t="shared" si="0"/>
        <v>0.13949980608567844</v>
      </c>
    </row>
    <row r="21" spans="2:5">
      <c r="B21" s="27">
        <v>2034</v>
      </c>
      <c r="C21" s="28">
        <v>0.14336387246686405</v>
      </c>
      <c r="D21" s="29">
        <v>2450.6644866130605</v>
      </c>
      <c r="E21" s="46">
        <f t="shared" si="0"/>
        <v>0.13005767204040974</v>
      </c>
    </row>
    <row r="22" spans="2:5">
      <c r="B22" s="27">
        <v>2035</v>
      </c>
      <c r="C22" s="28">
        <v>0.1329557136874239</v>
      </c>
      <c r="D22" s="29">
        <v>2272.7472425200667</v>
      </c>
      <c r="E22" s="46">
        <f t="shared" si="0"/>
        <v>0.12061553799514103</v>
      </c>
    </row>
    <row r="23" spans="2:5">
      <c r="B23" s="27">
        <v>2036</v>
      </c>
      <c r="C23" s="28">
        <v>0.12254755490798373</v>
      </c>
      <c r="D23" s="29">
        <v>2094.8299984270725</v>
      </c>
      <c r="E23" s="46">
        <f t="shared" si="0"/>
        <v>0.11117340394987231</v>
      </c>
    </row>
    <row r="24" spans="2:5">
      <c r="B24" s="27">
        <v>2037</v>
      </c>
      <c r="C24" s="28">
        <v>0.11213939612854357</v>
      </c>
      <c r="D24" s="29">
        <v>1916.912754334078</v>
      </c>
      <c r="E24" s="46">
        <f t="shared" si="0"/>
        <v>0.10173126990460359</v>
      </c>
    </row>
    <row r="25" spans="2:5">
      <c r="B25" s="27">
        <v>2038</v>
      </c>
      <c r="C25" s="28">
        <v>0.1017312373491034</v>
      </c>
      <c r="D25" s="29">
        <v>1738.9955102410836</v>
      </c>
      <c r="E25" s="46">
        <f t="shared" si="0"/>
        <v>9.2289135859334862E-2</v>
      </c>
    </row>
    <row r="26" spans="2:5">
      <c r="B26" s="27">
        <v>2039</v>
      </c>
      <c r="C26" s="28">
        <v>9.1323078569663235E-2</v>
      </c>
      <c r="D26" s="29">
        <v>1561.0782661480894</v>
      </c>
      <c r="E26" s="46">
        <f t="shared" si="0"/>
        <v>8.2847001814066137E-2</v>
      </c>
    </row>
    <row r="27" spans="2:5">
      <c r="B27" s="27">
        <v>2040</v>
      </c>
      <c r="C27" s="28">
        <v>8.0914919790223069E-2</v>
      </c>
      <c r="D27" s="29">
        <v>1383.1610220550951</v>
      </c>
      <c r="E27" s="46">
        <f t="shared" si="0"/>
        <v>7.3404867768797413E-2</v>
      </c>
    </row>
    <row r="28" spans="2:5">
      <c r="B28" s="27">
        <v>2041</v>
      </c>
      <c r="C28" s="28">
        <v>7.0506761010782903E-2</v>
      </c>
      <c r="D28" s="29">
        <v>1205.2437779621007</v>
      </c>
      <c r="E28" s="46">
        <f t="shared" si="0"/>
        <v>6.3962733723528689E-2</v>
      </c>
    </row>
    <row r="29" spans="2:5">
      <c r="B29" s="27">
        <v>2042</v>
      </c>
      <c r="C29" s="28">
        <v>6.0098602231342745E-2</v>
      </c>
      <c r="D29" s="29">
        <v>1027.3265338691067</v>
      </c>
      <c r="E29" s="46">
        <f t="shared" si="0"/>
        <v>5.4520599678259972E-2</v>
      </c>
    </row>
    <row r="30" spans="2:5">
      <c r="B30" s="27">
        <v>2043</v>
      </c>
      <c r="C30" s="28">
        <v>4.9690443451902586E-2</v>
      </c>
      <c r="D30" s="29">
        <v>849.40928977611247</v>
      </c>
      <c r="E30" s="46">
        <f t="shared" si="0"/>
        <v>4.5078465632991255E-2</v>
      </c>
    </row>
    <row r="31" spans="2:5">
      <c r="B31" s="27">
        <v>2044</v>
      </c>
      <c r="C31" s="28">
        <v>3.9282284672462427E-2</v>
      </c>
      <c r="D31" s="29">
        <v>671.49204568311836</v>
      </c>
      <c r="E31" s="46">
        <f t="shared" si="0"/>
        <v>3.5636331587722538E-2</v>
      </c>
    </row>
    <row r="32" spans="2:5">
      <c r="B32" s="27">
        <v>2045</v>
      </c>
      <c r="C32" s="28">
        <v>2.8874125893022233E-2</v>
      </c>
      <c r="D32" s="29">
        <v>493.57480159012363</v>
      </c>
      <c r="E32" s="46">
        <f t="shared" si="0"/>
        <v>2.6194197542453789E-2</v>
      </c>
    </row>
    <row r="33" spans="2:5">
      <c r="B33" s="27">
        <v>2046</v>
      </c>
      <c r="C33" s="28">
        <v>2.8874125893022233E-2</v>
      </c>
      <c r="D33" s="29">
        <v>493.57480159012363</v>
      </c>
      <c r="E33" s="46">
        <f t="shared" si="0"/>
        <v>2.6194197542453789E-2</v>
      </c>
    </row>
    <row r="34" spans="2:5">
      <c r="B34" s="27">
        <v>2047</v>
      </c>
      <c r="C34" s="28">
        <v>2.8874125893022233E-2</v>
      </c>
      <c r="D34" s="29">
        <v>493.57480159012363</v>
      </c>
      <c r="E34" s="46">
        <f t="shared" si="0"/>
        <v>2.6194197542453789E-2</v>
      </c>
    </row>
    <row r="35" spans="2:5">
      <c r="B35" s="27">
        <v>2048</v>
      </c>
      <c r="C35" s="28">
        <v>2.8874125893022233E-2</v>
      </c>
      <c r="D35" s="29">
        <v>493.57480159012363</v>
      </c>
      <c r="E35" s="46">
        <f t="shared" si="0"/>
        <v>2.6194197542453789E-2</v>
      </c>
    </row>
    <row r="36" spans="2:5">
      <c r="B36" s="30">
        <v>2049</v>
      </c>
      <c r="C36" s="31">
        <v>2.8874125893022233E-2</v>
      </c>
      <c r="D36" s="32">
        <v>493.57480159012363</v>
      </c>
      <c r="E36" s="46">
        <f t="shared" si="0"/>
        <v>2.6194197542453789E-2</v>
      </c>
    </row>
    <row r="37" spans="2:5" s="33" customFormat="1"/>
  </sheetData>
  <mergeCells count="1">
    <mergeCell ref="B4:D4"/>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2:AI20"/>
  <sheetViews>
    <sheetView showGridLines="0" zoomScale="90" zoomScaleNormal="90" workbookViewId="0">
      <selection activeCell="E17" sqref="E17"/>
    </sheetView>
  </sheetViews>
  <sheetFormatPr defaultRowHeight="15"/>
  <cols>
    <col min="2" max="2" width="34.7109375" bestFit="1" customWidth="1"/>
    <col min="3" max="3" width="22.85546875" bestFit="1" customWidth="1"/>
    <col min="4" max="4" width="9.5703125" bestFit="1" customWidth="1"/>
    <col min="12" max="12" width="11.5703125" bestFit="1" customWidth="1"/>
    <col min="16" max="16" width="10.5703125" bestFit="1" customWidth="1"/>
  </cols>
  <sheetData>
    <row r="2" spans="2:35">
      <c r="B2" s="42" t="s">
        <v>129</v>
      </c>
      <c r="D2">
        <v>2018</v>
      </c>
      <c r="E2">
        <v>2022</v>
      </c>
      <c r="F2">
        <v>2026</v>
      </c>
      <c r="G2">
        <v>2030</v>
      </c>
    </row>
    <row r="3" spans="2:35">
      <c r="B3" s="1" t="s">
        <v>130</v>
      </c>
      <c r="C3" s="2" t="s">
        <v>131</v>
      </c>
      <c r="D3" s="3">
        <v>239106.96738437598</v>
      </c>
      <c r="E3" s="4">
        <v>245583.28022944502</v>
      </c>
      <c r="F3" s="4">
        <v>251286.13378760399</v>
      </c>
      <c r="G3" s="5">
        <v>255038.09860018198</v>
      </c>
    </row>
    <row r="4" spans="2:35">
      <c r="B4" s="6" t="s">
        <v>132</v>
      </c>
      <c r="C4" s="7" t="s">
        <v>131</v>
      </c>
      <c r="D4" s="8">
        <v>209330.5911438991</v>
      </c>
      <c r="E4" s="9">
        <v>207691.65000453376</v>
      </c>
      <c r="F4" s="9">
        <v>205654.01874539696</v>
      </c>
      <c r="G4" s="10">
        <v>202709.58428219182</v>
      </c>
    </row>
    <row r="5" spans="2:35">
      <c r="B5" s="11" t="s">
        <v>133</v>
      </c>
      <c r="C5" s="12" t="s">
        <v>134</v>
      </c>
      <c r="D5" s="13">
        <v>42.301348291047219</v>
      </c>
      <c r="E5" s="14">
        <v>36.137327065529078</v>
      </c>
      <c r="F5" s="14">
        <v>41.324041984800118</v>
      </c>
      <c r="G5" s="15">
        <v>34.019980900233705</v>
      </c>
    </row>
    <row r="6" spans="2:35">
      <c r="B6" s="11" t="s">
        <v>133</v>
      </c>
      <c r="C6" s="12" t="s">
        <v>135</v>
      </c>
      <c r="D6" s="13">
        <f>D5*Short_Ton_per_Metric_Tonne</f>
        <v>46.629199234704259</v>
      </c>
      <c r="E6" s="14">
        <f>E5*Short_Ton_per_Metric_Tonne</f>
        <v>39.834536997603358</v>
      </c>
      <c r="F6" s="14">
        <f>F5*Short_Ton_per_Metric_Tonne</f>
        <v>45.551904720265014</v>
      </c>
      <c r="G6" s="15">
        <f>G5*Short_Ton_per_Metric_Tonne</f>
        <v>37.500565146136609</v>
      </c>
    </row>
    <row r="8" spans="2:35">
      <c r="B8" s="42" t="s">
        <v>136</v>
      </c>
    </row>
    <row r="9" spans="2:35">
      <c r="B9" s="11" t="s">
        <v>137</v>
      </c>
      <c r="C9" s="12" t="s">
        <v>138</v>
      </c>
      <c r="D9" s="48">
        <f>Reference!D28</f>
        <v>7.247238729926142E-2</v>
      </c>
    </row>
    <row r="10" spans="2:35">
      <c r="B10" s="11" t="s">
        <v>139</v>
      </c>
      <c r="C10" s="12" t="s">
        <v>140</v>
      </c>
      <c r="D10" s="23">
        <f>Reference!D16</f>
        <v>0.3984155478940114</v>
      </c>
    </row>
    <row r="11" spans="2:35">
      <c r="B11" s="11" t="s">
        <v>141</v>
      </c>
      <c r="C11" s="12" t="s">
        <v>140</v>
      </c>
      <c r="D11" s="23">
        <f>D10*D9</f>
        <v>2.8874125893022233E-2</v>
      </c>
    </row>
    <row r="13" spans="2:35">
      <c r="B13" s="11" t="s">
        <v>142</v>
      </c>
      <c r="C13" s="12" t="s">
        <v>143</v>
      </c>
      <c r="D13">
        <f>Reference!D9</f>
        <v>5.8500000000000003E-2</v>
      </c>
    </row>
    <row r="15" spans="2:35">
      <c r="D15">
        <v>2018</v>
      </c>
      <c r="E15">
        <v>2019</v>
      </c>
      <c r="F15">
        <v>2020</v>
      </c>
      <c r="G15">
        <v>2021</v>
      </c>
      <c r="H15">
        <v>2022</v>
      </c>
      <c r="I15">
        <v>2023</v>
      </c>
      <c r="J15">
        <v>2024</v>
      </c>
      <c r="K15">
        <v>2025</v>
      </c>
      <c r="L15">
        <v>2026</v>
      </c>
      <c r="M15">
        <v>2027</v>
      </c>
      <c r="N15">
        <v>2028</v>
      </c>
      <c r="O15">
        <v>2029</v>
      </c>
      <c r="P15">
        <v>2030</v>
      </c>
      <c r="Q15">
        <v>2031</v>
      </c>
      <c r="R15">
        <v>2032</v>
      </c>
      <c r="S15">
        <v>2033</v>
      </c>
      <c r="T15">
        <v>2034</v>
      </c>
      <c r="U15">
        <v>2035</v>
      </c>
      <c r="V15">
        <v>2036</v>
      </c>
      <c r="W15">
        <v>2037</v>
      </c>
      <c r="X15">
        <v>2038</v>
      </c>
      <c r="Y15">
        <v>2039</v>
      </c>
      <c r="Z15">
        <v>2040</v>
      </c>
      <c r="AA15">
        <v>2041</v>
      </c>
      <c r="AB15">
        <v>2042</v>
      </c>
      <c r="AC15">
        <v>2043</v>
      </c>
      <c r="AD15">
        <v>2044</v>
      </c>
      <c r="AE15">
        <v>2045</v>
      </c>
      <c r="AF15">
        <v>2046</v>
      </c>
      <c r="AG15">
        <v>2047</v>
      </c>
      <c r="AH15">
        <v>2048</v>
      </c>
      <c r="AI15">
        <v>2049</v>
      </c>
    </row>
    <row r="16" spans="2:35">
      <c r="B16" s="6" t="s">
        <v>132</v>
      </c>
      <c r="C16" s="7" t="s">
        <v>131</v>
      </c>
      <c r="D16" s="16">
        <f>D4</f>
        <v>209330.5911438991</v>
      </c>
      <c r="E16" s="17">
        <f t="shared" ref="E16:G18" si="0">D16+($H16-$D16)/4</f>
        <v>208920.85585905777</v>
      </c>
      <c r="F16" s="17">
        <f t="shared" si="0"/>
        <v>208511.12057421645</v>
      </c>
      <c r="G16" s="17">
        <f t="shared" si="0"/>
        <v>208101.38528937512</v>
      </c>
      <c r="H16" s="16">
        <f>E4</f>
        <v>207691.65000453376</v>
      </c>
      <c r="I16" s="17">
        <f>H16+($L16-$H16)/4</f>
        <v>207182.24218974955</v>
      </c>
      <c r="J16" s="18">
        <f t="shared" ref="J16:K16" si="1">I16+($L16-$H16)/4</f>
        <v>206672.83437496534</v>
      </c>
      <c r="K16" s="18">
        <f t="shared" si="1"/>
        <v>206163.42656018113</v>
      </c>
      <c r="L16" s="16">
        <f>F4</f>
        <v>205654.01874539696</v>
      </c>
      <c r="M16" s="17">
        <f>L16+($P16-$L16)/4</f>
        <v>204917.91012959566</v>
      </c>
      <c r="N16" s="18">
        <f t="shared" ref="N16:O16" si="2">M16+($P16-$L16)/4</f>
        <v>204181.80151379437</v>
      </c>
      <c r="O16" s="18">
        <f t="shared" si="2"/>
        <v>203445.69289799308</v>
      </c>
      <c r="P16" s="16">
        <f>G4</f>
        <v>202709.58428219182</v>
      </c>
      <c r="Q16" s="17"/>
      <c r="R16" s="17"/>
      <c r="S16" s="17"/>
      <c r="T16" s="17"/>
      <c r="U16" s="17"/>
      <c r="V16" s="17"/>
      <c r="W16" s="17"/>
      <c r="X16" s="17"/>
      <c r="Y16" s="17"/>
      <c r="Z16" s="17"/>
      <c r="AA16" s="17"/>
      <c r="AB16" s="17"/>
      <c r="AC16" s="17"/>
      <c r="AD16" s="17"/>
      <c r="AF16" s="17"/>
      <c r="AG16" s="17"/>
      <c r="AH16" s="17"/>
      <c r="AI16" s="17"/>
    </row>
    <row r="17" spans="2:35">
      <c r="B17" s="11" t="s">
        <v>133</v>
      </c>
      <c r="C17" s="12" t="s">
        <v>144</v>
      </c>
      <c r="D17" s="19">
        <f>D6</f>
        <v>46.629199234704259</v>
      </c>
      <c r="E17" s="20">
        <f t="shared" si="0"/>
        <v>44.930533675429032</v>
      </c>
      <c r="F17" s="20">
        <f t="shared" si="0"/>
        <v>43.231868116153805</v>
      </c>
      <c r="G17" s="20">
        <f t="shared" si="0"/>
        <v>41.533202556878578</v>
      </c>
      <c r="H17" s="19">
        <f>E6</f>
        <v>39.834536997603358</v>
      </c>
      <c r="I17" s="21">
        <f t="shared" ref="I17:K18" si="3">H17+($L17-$H17)/4</f>
        <v>41.263878928268774</v>
      </c>
      <c r="J17" s="21">
        <f t="shared" si="3"/>
        <v>42.69322085893419</v>
      </c>
      <c r="K17" s="21">
        <f t="shared" si="3"/>
        <v>44.122562789599606</v>
      </c>
      <c r="L17" s="19">
        <f>F6</f>
        <v>45.551904720265014</v>
      </c>
      <c r="M17" s="21">
        <f t="shared" ref="M17:O18" si="4">L17+($P17-$L17)/4</f>
        <v>43.539069826732913</v>
      </c>
      <c r="N17" s="21">
        <f t="shared" si="4"/>
        <v>41.526234933200811</v>
      </c>
      <c r="O17" s="21">
        <f t="shared" si="4"/>
        <v>39.51340003966871</v>
      </c>
      <c r="P17" s="19">
        <f>G6</f>
        <v>37.500565146136609</v>
      </c>
      <c r="Q17" s="21"/>
      <c r="R17" s="21"/>
      <c r="S17" s="21"/>
      <c r="T17" s="21"/>
      <c r="U17" s="21"/>
      <c r="V17" s="21"/>
      <c r="W17" s="21"/>
      <c r="X17" s="21"/>
      <c r="Y17" s="21"/>
      <c r="Z17" s="21"/>
      <c r="AA17" s="21"/>
      <c r="AB17" s="21"/>
      <c r="AC17" s="21"/>
      <c r="AD17" s="21"/>
      <c r="AF17" s="21"/>
      <c r="AG17" s="21"/>
      <c r="AH17" s="21"/>
      <c r="AI17" s="21"/>
    </row>
    <row r="18" spans="2:35">
      <c r="B18" s="11" t="s">
        <v>145</v>
      </c>
      <c r="C18" s="12" t="s">
        <v>146</v>
      </c>
      <c r="D18" s="22">
        <f>D17/D16*10^3</f>
        <v>0.22275386975165123</v>
      </c>
      <c r="E18" s="23">
        <f t="shared" si="0"/>
        <v>0.21501453387094571</v>
      </c>
      <c r="F18" s="23">
        <f t="shared" si="0"/>
        <v>0.20727519799024019</v>
      </c>
      <c r="G18" s="23">
        <f t="shared" si="0"/>
        <v>0.19953586210953467</v>
      </c>
      <c r="H18" s="22">
        <f>H17/H16*10^3</f>
        <v>0.19179652622882915</v>
      </c>
      <c r="I18" s="24">
        <f t="shared" si="3"/>
        <v>0.19922183495506099</v>
      </c>
      <c r="J18" s="24">
        <f t="shared" si="3"/>
        <v>0.20664714368129283</v>
      </c>
      <c r="K18" s="24">
        <f t="shared" si="3"/>
        <v>0.21407245240752468</v>
      </c>
      <c r="L18" s="22">
        <f>L17/L16*10^3</f>
        <v>0.22149776113375649</v>
      </c>
      <c r="M18" s="24">
        <f t="shared" si="4"/>
        <v>0.21237244774647354</v>
      </c>
      <c r="N18" s="24">
        <f t="shared" si="4"/>
        <v>0.20324713435919059</v>
      </c>
      <c r="O18" s="24">
        <f t="shared" si="4"/>
        <v>0.19412182097190764</v>
      </c>
      <c r="P18" s="22">
        <f>P17/P16*10^3</f>
        <v>0.18499650758462466</v>
      </c>
      <c r="Q18" s="24">
        <f>P18+($AE18-$P18)/15</f>
        <v>0.17458834880518451</v>
      </c>
      <c r="R18" s="24">
        <f t="shared" ref="R18:AD18" si="5">Q18+($AE18-$P18)/15</f>
        <v>0.16418019002574435</v>
      </c>
      <c r="S18" s="24">
        <f t="shared" si="5"/>
        <v>0.1537720312463042</v>
      </c>
      <c r="T18" s="24">
        <f t="shared" si="5"/>
        <v>0.14336387246686405</v>
      </c>
      <c r="U18" s="24">
        <f t="shared" si="5"/>
        <v>0.1329557136874239</v>
      </c>
      <c r="V18" s="24">
        <f t="shared" si="5"/>
        <v>0.12254755490798373</v>
      </c>
      <c r="W18" s="24">
        <f t="shared" si="5"/>
        <v>0.11213939612854357</v>
      </c>
      <c r="X18" s="24">
        <f t="shared" si="5"/>
        <v>0.1017312373491034</v>
      </c>
      <c r="Y18" s="24">
        <f t="shared" si="5"/>
        <v>9.1323078569663235E-2</v>
      </c>
      <c r="Z18" s="24">
        <f t="shared" si="5"/>
        <v>8.0914919790223069E-2</v>
      </c>
      <c r="AA18" s="24">
        <f t="shared" si="5"/>
        <v>7.0506761010782903E-2</v>
      </c>
      <c r="AB18" s="24">
        <f t="shared" si="5"/>
        <v>6.0098602231342745E-2</v>
      </c>
      <c r="AC18" s="24">
        <f t="shared" si="5"/>
        <v>4.9690443451902586E-2</v>
      </c>
      <c r="AD18" s="24">
        <f t="shared" si="5"/>
        <v>3.9282284672462427E-2</v>
      </c>
      <c r="AE18" s="25">
        <f>D11</f>
        <v>2.8874125893022233E-2</v>
      </c>
      <c r="AF18" s="24">
        <f>AE18</f>
        <v>2.8874125893022233E-2</v>
      </c>
      <c r="AG18" s="24">
        <f t="shared" ref="AG18:AI18" si="6">AF18</f>
        <v>2.8874125893022233E-2</v>
      </c>
      <c r="AH18" s="24">
        <f t="shared" si="6"/>
        <v>2.8874125893022233E-2</v>
      </c>
      <c r="AI18" s="24">
        <f t="shared" si="6"/>
        <v>2.8874125893022233E-2</v>
      </c>
    </row>
    <row r="20" spans="2:35">
      <c r="B20" s="11" t="s">
        <v>147</v>
      </c>
      <c r="C20" s="12" t="s">
        <v>148</v>
      </c>
      <c r="D20" s="16">
        <f>D18/$D$13*10^3</f>
        <v>3807.7584572931833</v>
      </c>
      <c r="E20" s="17">
        <f>D20+($H20-$D20)/4</f>
        <v>3675.4621174520635</v>
      </c>
      <c r="F20" s="17">
        <f t="shared" ref="F20:G20" si="7">E20+($H20-$D20)/4</f>
        <v>3543.1657776109432</v>
      </c>
      <c r="G20" s="17">
        <f t="shared" si="7"/>
        <v>3410.869437769823</v>
      </c>
      <c r="H20" s="16">
        <f t="shared" ref="H20:AI20" si="8">H18/$D$13*10^3</f>
        <v>3278.5730979287032</v>
      </c>
      <c r="I20" s="17">
        <f t="shared" ref="I20:K20" si="9">H20+($L20-$H20)/4</f>
        <v>3405.5014522232646</v>
      </c>
      <c r="J20" s="17">
        <f t="shared" si="9"/>
        <v>3532.4298065178259</v>
      </c>
      <c r="K20" s="17">
        <f t="shared" si="9"/>
        <v>3659.3581608123873</v>
      </c>
      <c r="L20" s="16">
        <f t="shared" si="8"/>
        <v>3786.2865151069482</v>
      </c>
      <c r="M20" s="17">
        <f t="shared" ref="M20:O20" si="10">L20+($P20-$L20)/4</f>
        <v>3630.2982520764704</v>
      </c>
      <c r="N20" s="17">
        <f t="shared" si="10"/>
        <v>3474.3099890459926</v>
      </c>
      <c r="O20" s="17">
        <f t="shared" si="10"/>
        <v>3318.3217260155147</v>
      </c>
      <c r="P20" s="16">
        <f t="shared" si="8"/>
        <v>3162.3334629850369</v>
      </c>
      <c r="Q20" s="17">
        <f t="shared" si="8"/>
        <v>2984.4162188920427</v>
      </c>
      <c r="R20" s="17">
        <f t="shared" si="8"/>
        <v>2806.4989747990485</v>
      </c>
      <c r="S20" s="17">
        <f t="shared" si="8"/>
        <v>2628.5817307060543</v>
      </c>
      <c r="T20" s="17">
        <f t="shared" si="8"/>
        <v>2450.6644866130605</v>
      </c>
      <c r="U20" s="17">
        <f t="shared" si="8"/>
        <v>2272.7472425200667</v>
      </c>
      <c r="V20" s="17">
        <f t="shared" si="8"/>
        <v>2094.8299984270725</v>
      </c>
      <c r="W20" s="17">
        <f t="shared" si="8"/>
        <v>1916.912754334078</v>
      </c>
      <c r="X20" s="17">
        <f t="shared" si="8"/>
        <v>1738.9955102410836</v>
      </c>
      <c r="Y20" s="17">
        <f t="shared" si="8"/>
        <v>1561.0782661480894</v>
      </c>
      <c r="Z20" s="17">
        <f t="shared" si="8"/>
        <v>1383.1610220550951</v>
      </c>
      <c r="AA20" s="17">
        <f t="shared" si="8"/>
        <v>1205.2437779621007</v>
      </c>
      <c r="AB20" s="17">
        <f t="shared" si="8"/>
        <v>1027.3265338691067</v>
      </c>
      <c r="AC20" s="17">
        <f t="shared" si="8"/>
        <v>849.40928977611247</v>
      </c>
      <c r="AD20" s="17">
        <f t="shared" si="8"/>
        <v>671.49204568311836</v>
      </c>
      <c r="AE20" s="16">
        <f t="shared" si="8"/>
        <v>493.57480159012363</v>
      </c>
      <c r="AF20" s="17">
        <f t="shared" si="8"/>
        <v>493.57480159012363</v>
      </c>
      <c r="AG20" s="17">
        <f t="shared" si="8"/>
        <v>493.57480159012363</v>
      </c>
      <c r="AH20" s="17">
        <f t="shared" si="8"/>
        <v>493.57480159012363</v>
      </c>
      <c r="AI20" s="17">
        <f t="shared" si="8"/>
        <v>493.57480159012363</v>
      </c>
    </row>
  </sheetData>
  <sheetProtection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C4:H45"/>
  <sheetViews>
    <sheetView showGridLines="0" zoomScale="90" zoomScaleNormal="90" workbookViewId="0">
      <selection activeCell="D8" sqref="D8"/>
    </sheetView>
  </sheetViews>
  <sheetFormatPr defaultRowHeight="15"/>
  <cols>
    <col min="3" max="3" width="34.140625" bestFit="1" customWidth="1"/>
    <col min="4" max="4" width="9.5703125" bestFit="1" customWidth="1"/>
    <col min="5" max="5" width="8.85546875" customWidth="1"/>
    <col min="7" max="7" width="9.140625" customWidth="1"/>
  </cols>
  <sheetData>
    <row r="4" spans="3:5">
      <c r="C4" s="26" t="s">
        <v>149</v>
      </c>
      <c r="D4" s="26" t="s">
        <v>150</v>
      </c>
      <c r="E4" s="26" t="s">
        <v>151</v>
      </c>
    </row>
    <row r="5" spans="3:5">
      <c r="C5" t="s">
        <v>152</v>
      </c>
      <c r="D5">
        <v>1.1023099999999999</v>
      </c>
      <c r="E5" t="s">
        <v>153</v>
      </c>
    </row>
    <row r="6" spans="3:5">
      <c r="C6" t="s">
        <v>154</v>
      </c>
      <c r="D6">
        <v>0.1</v>
      </c>
      <c r="E6" t="s">
        <v>155</v>
      </c>
    </row>
    <row r="7" spans="3:5">
      <c r="C7" t="s">
        <v>156</v>
      </c>
      <c r="D7" s="17">
        <f>10^5</f>
        <v>100000</v>
      </c>
      <c r="E7" t="s">
        <v>157</v>
      </c>
    </row>
    <row r="8" spans="3:5">
      <c r="C8" t="s">
        <v>158</v>
      </c>
      <c r="D8" s="17">
        <v>3413</v>
      </c>
      <c r="E8" t="s">
        <v>148</v>
      </c>
    </row>
    <row r="9" spans="3:5">
      <c r="C9" t="s">
        <v>159</v>
      </c>
      <c r="D9">
        <v>5.8500000000000003E-2</v>
      </c>
      <c r="E9" t="s">
        <v>143</v>
      </c>
    </row>
    <row r="10" spans="3:5">
      <c r="C10" t="s">
        <v>159</v>
      </c>
      <c r="D10" s="50">
        <f>D6*D9/Short_Ton_per_Metric_Tonne</f>
        <v>5.3070370403969858E-3</v>
      </c>
      <c r="E10" t="s">
        <v>160</v>
      </c>
    </row>
    <row r="13" spans="3:5">
      <c r="C13" s="26" t="s">
        <v>161</v>
      </c>
    </row>
    <row r="14" spans="3:5">
      <c r="C14" t="s">
        <v>162</v>
      </c>
      <c r="D14" s="17">
        <v>7000</v>
      </c>
      <c r="E14" t="s">
        <v>148</v>
      </c>
    </row>
    <row r="15" spans="3:5">
      <c r="C15" t="s">
        <v>163</v>
      </c>
      <c r="D15" s="24">
        <f>D14/Btu_therm*NG_metric_tonne_CO2_therm*10^3</f>
        <v>0.37149259282778907</v>
      </c>
      <c r="E15" t="s">
        <v>164</v>
      </c>
    </row>
    <row r="16" spans="3:5">
      <c r="C16" t="s">
        <v>165</v>
      </c>
      <c r="D16" s="24">
        <f>D15*(1+D28)</f>
        <v>0.3984155478940114</v>
      </c>
      <c r="E16" t="s">
        <v>166</v>
      </c>
    </row>
    <row r="24" spans="3:8">
      <c r="C24" s="26" t="s">
        <v>167</v>
      </c>
    </row>
    <row r="26" spans="3:8">
      <c r="D26" s="103" t="s">
        <v>168</v>
      </c>
      <c r="E26" s="103" t="s">
        <v>169</v>
      </c>
      <c r="F26" s="103" t="s">
        <v>170</v>
      </c>
      <c r="H26" s="42"/>
    </row>
    <row r="27" spans="3:8">
      <c r="C27" s="44" t="s">
        <v>171</v>
      </c>
      <c r="D27" s="24">
        <f>SUMPRODUCT(D31:D36,D39:D44)/D45</f>
        <v>1.0705913889515979</v>
      </c>
      <c r="E27" s="24">
        <f t="shared" ref="E27:F27" si="0">SUMPRODUCT(E31:E36,E39:E44)/E45</f>
        <v>1.0743894394977169</v>
      </c>
      <c r="F27" s="24">
        <f t="shared" si="0"/>
        <v>1.0724363334484694</v>
      </c>
    </row>
    <row r="28" spans="3:8">
      <c r="C28" s="44" t="s">
        <v>172</v>
      </c>
      <c r="D28" s="47">
        <f>AVERAGE(D27:F27)-1</f>
        <v>7.247238729926142E-2</v>
      </c>
      <c r="E28" s="49" t="s">
        <v>173</v>
      </c>
    </row>
    <row r="30" spans="3:8">
      <c r="C30" s="44" t="s">
        <v>174</v>
      </c>
      <c r="D30" s="103" t="s">
        <v>168</v>
      </c>
      <c r="E30" s="103" t="s">
        <v>169</v>
      </c>
      <c r="F30" s="103" t="s">
        <v>170</v>
      </c>
    </row>
    <row r="31" spans="3:8">
      <c r="C31" s="43" t="s">
        <v>175</v>
      </c>
      <c r="D31" s="46">
        <v>1.1085660159999999</v>
      </c>
      <c r="E31" s="46">
        <v>1.0844800000000001</v>
      </c>
      <c r="F31" s="46">
        <v>1.0808937728245689</v>
      </c>
    </row>
    <row r="32" spans="3:8">
      <c r="C32" s="43" t="s">
        <v>176</v>
      </c>
      <c r="D32" s="46">
        <v>1.07254728</v>
      </c>
      <c r="E32" s="46">
        <v>1.08002</v>
      </c>
      <c r="F32" s="46">
        <v>1.0771658847869001</v>
      </c>
    </row>
    <row r="33" spans="3:6">
      <c r="C33" s="43" t="s">
        <v>177</v>
      </c>
      <c r="D33" s="46">
        <v>1.05701376</v>
      </c>
      <c r="E33" s="46">
        <v>1.0734699999999999</v>
      </c>
      <c r="F33" s="46">
        <v>1.0677141777836088</v>
      </c>
    </row>
    <row r="34" spans="3:6">
      <c r="C34" s="43" t="s">
        <v>178</v>
      </c>
      <c r="D34" s="46" t="s">
        <v>179</v>
      </c>
      <c r="E34" s="46" t="s">
        <v>179</v>
      </c>
      <c r="F34" s="46">
        <v>1.0832853424650739</v>
      </c>
    </row>
    <row r="35" spans="3:6">
      <c r="C35" s="43" t="s">
        <v>180</v>
      </c>
      <c r="D35" s="46">
        <v>1.0902508759999998</v>
      </c>
      <c r="E35" s="46">
        <v>1.0773200000000001</v>
      </c>
      <c r="F35" s="46">
        <v>1.0761962933200795</v>
      </c>
    </row>
    <row r="36" spans="3:6">
      <c r="C36" s="43" t="s">
        <v>181</v>
      </c>
      <c r="D36" s="46">
        <v>1.0611988199999998</v>
      </c>
      <c r="E36" s="46">
        <v>1.07047</v>
      </c>
      <c r="F36" s="46">
        <v>1.0675291226695465</v>
      </c>
    </row>
    <row r="38" spans="3:6">
      <c r="D38" s="163" t="s">
        <v>182</v>
      </c>
      <c r="E38" s="163"/>
      <c r="F38" s="163"/>
    </row>
    <row r="39" spans="3:6">
      <c r="C39" s="43" t="s">
        <v>175</v>
      </c>
      <c r="D39" s="17">
        <v>774</v>
      </c>
      <c r="E39" s="17">
        <v>504</v>
      </c>
      <c r="F39" s="17">
        <v>742</v>
      </c>
    </row>
    <row r="40" spans="3:6">
      <c r="C40" s="43" t="s">
        <v>176</v>
      </c>
      <c r="D40" s="17">
        <v>903</v>
      </c>
      <c r="E40" s="17">
        <v>756</v>
      </c>
      <c r="F40" s="17">
        <v>954</v>
      </c>
    </row>
    <row r="41" spans="3:6">
      <c r="C41" s="43" t="s">
        <v>177</v>
      </c>
      <c r="D41" s="17">
        <v>2739</v>
      </c>
      <c r="E41" s="17">
        <v>1668</v>
      </c>
      <c r="F41" s="17">
        <v>1976</v>
      </c>
    </row>
    <row r="42" spans="3:6">
      <c r="C42" s="43" t="s">
        <v>178</v>
      </c>
      <c r="D42" s="17">
        <v>0</v>
      </c>
      <c r="E42" s="17">
        <v>0</v>
      </c>
      <c r="F42" s="17">
        <v>441</v>
      </c>
    </row>
    <row r="43" spans="3:6">
      <c r="C43" s="43" t="s">
        <v>180</v>
      </c>
      <c r="D43" s="17">
        <v>1612</v>
      </c>
      <c r="E43" s="17">
        <v>2197</v>
      </c>
      <c r="F43" s="17">
        <v>1911</v>
      </c>
    </row>
    <row r="44" spans="3:6">
      <c r="C44" s="43" t="s">
        <v>181</v>
      </c>
      <c r="D44" s="17">
        <v>2732</v>
      </c>
      <c r="E44" s="17">
        <v>3635</v>
      </c>
      <c r="F44" s="17">
        <v>2736</v>
      </c>
    </row>
    <row r="45" spans="3:6">
      <c r="C45" s="44" t="s">
        <v>183</v>
      </c>
      <c r="D45" s="45">
        <f>SUM(D39:D44)</f>
        <v>8760</v>
      </c>
      <c r="E45" s="45">
        <f>SUM(E39:E44)</f>
        <v>8760</v>
      </c>
      <c r="F45" s="45">
        <f>SUM(F39:F44)</f>
        <v>8760</v>
      </c>
    </row>
  </sheetData>
  <sheetProtection sheet="1" objects="1" scenarios="1"/>
  <mergeCells count="1">
    <mergeCell ref="D38:F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0250063D8B6A4A8E4B2ACCC139DF34" ma:contentTypeVersion="6" ma:contentTypeDescription="Create a new document." ma:contentTypeScope="" ma:versionID="0ba951c082dd1bb204a4cbb2462cab62">
  <xsd:schema xmlns:xsd="http://www.w3.org/2001/XMLSchema" xmlns:xs="http://www.w3.org/2001/XMLSchema" xmlns:p="http://schemas.microsoft.com/office/2006/metadata/properties" xmlns:ns2="7c1c7a6f-3265-4509-bbfe-7803c2802302" xmlns:ns3="bf10aa6d-916d-4fea-8ddc-34226e1e53be" targetNamespace="http://schemas.microsoft.com/office/2006/metadata/properties" ma:root="true" ma:fieldsID="9b0916b43a7deead1a6bdb8e7e3b0a3d" ns2:_="" ns3:_="">
    <xsd:import namespace="7c1c7a6f-3265-4509-bbfe-7803c2802302"/>
    <xsd:import namespace="bf10aa6d-916d-4fea-8ddc-34226e1e53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c7a6f-3265-4509-bbfe-7803c2802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10aa6d-916d-4fea-8ddc-34226e1e53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F2809-60D8-4376-A923-5D550D2FE543}"/>
</file>

<file path=customXml/itemProps2.xml><?xml version="1.0" encoding="utf-8"?>
<ds:datastoreItem xmlns:ds="http://schemas.openxmlformats.org/officeDocument/2006/customXml" ds:itemID="{EA7F633A-4DB6-48FB-BF0A-1B90015D4EE0}"/>
</file>

<file path=customXml/itemProps3.xml><?xml version="1.0" encoding="utf-8"?>
<ds:datastoreItem xmlns:ds="http://schemas.openxmlformats.org/officeDocument/2006/customXml" ds:itemID="{20E6FB48-E826-4B63-BC92-DF078D30A7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Conference Room</dc:creator>
  <cp:keywords/>
  <dc:description/>
  <cp:lastModifiedBy/>
  <cp:revision/>
  <dcterms:created xsi:type="dcterms:W3CDTF">2019-09-09T23:18:57Z</dcterms:created>
  <dcterms:modified xsi:type="dcterms:W3CDTF">2019-10-18T01:10:44Z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{EE89CA1D-6D36-457E-B57C-FA7DE748394F}</vt:lpwstr>
  </property>
  <property fmtid="{D5CDD505-2E9C-101B-9397-08002B2CF9AE}" pid="3" name="ContentTypeId">
    <vt:lpwstr>0x0101009E0250063D8B6A4A8E4B2ACCC139DF34</vt:lpwstr>
  </property>
</Properties>
</file>