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sjwater.com\TaylorData\wkgrps\PUCGroup\OIR Affordability\Data Requests\2023\"/>
    </mc:Choice>
  </mc:AlternateContent>
  <bookViews>
    <workbookView xWindow="0" yWindow="0" windowWidth="23040" windowHeight="9060" firstSheet="5" activeTab="5"/>
  </bookViews>
  <sheets>
    <sheet name="Instructions" sheetId="22" r:id="rId1"/>
    <sheet name="Definitions" sheetId="25" r:id="rId2"/>
    <sheet name="Updates Tab" sheetId="24" r:id="rId3"/>
    <sheet name="Super Summary - Selected Data" sheetId="26" r:id="rId4"/>
    <sheet name="Summary" sheetId="4" r:id="rId5"/>
    <sheet name="Rev Req't_yrs 1-3" sheetId="6" r:id="rId6"/>
    <sheet name="Input" sheetId="2" r:id="rId7"/>
    <sheet name="Calculators --&gt;" sheetId="9" r:id="rId8"/>
    <sheet name="Calculator Data Summary" sheetId="23" r:id="rId9"/>
    <sheet name="Residential Bill_Current_avg" sheetId="20" r:id="rId10"/>
    <sheet name="Residential Bills_Yr 1_avg" sheetId="3" r:id="rId11"/>
    <sheet name="Residential Bills_Yr 2_avg" sheetId="15" r:id="rId12"/>
    <sheet name="Residential Bills_Yr 3_avg" sheetId="16" r:id="rId13"/>
    <sheet name="Residential Bill_Current6 units" sheetId="21" r:id="rId14"/>
    <sheet name="Residential Bills_Yr 1_6 Units" sheetId="17" r:id="rId15"/>
    <sheet name="Residential Bills_Yr 2_6 Units" sheetId="18" r:id="rId16"/>
    <sheet name="Residential Bills_Yr 3_6 Units" sheetId="19" r:id="rId17"/>
  </sheets>
  <externalReferences>
    <externalReference r:id="rId18"/>
    <externalReference r:id="rId19"/>
    <externalReference r:id="rId20"/>
    <externalReference r:id="rId21"/>
    <externalReference r:id="rId22"/>
  </externalReferences>
  <definedNames>
    <definedName name="CAP">Input!$C$108:$C$109</definedName>
    <definedName name="Non_CAP">Input!$B$108:$B$109</definedName>
    <definedName name="_xlnm.Print_Area" localSheetId="0">Instructions!$A$1:$I$46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L49" i="2" l="1"/>
  <c r="B8" i="2"/>
  <c r="B7" i="2"/>
  <c r="Q30" i="26" l="1"/>
  <c r="Q29" i="26"/>
  <c r="Q28" i="26"/>
  <c r="Q5" i="26"/>
  <c r="F14" i="6" l="1"/>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7" i="6"/>
  <c r="F8" i="6"/>
  <c r="F10" i="6"/>
  <c r="F11" i="6"/>
  <c r="F12" i="6"/>
  <c r="F13" i="6"/>
  <c r="A65" i="20"/>
  <c r="AT89" i="16" l="1"/>
  <c r="AP89" i="16"/>
  <c r="AL89" i="16"/>
  <c r="AH89" i="16"/>
  <c r="AD89" i="16"/>
  <c r="Z89" i="16"/>
  <c r="V89" i="16"/>
  <c r="R89" i="16"/>
  <c r="N89" i="16"/>
  <c r="J89" i="16"/>
  <c r="F89" i="16"/>
  <c r="B89" i="16"/>
  <c r="AT89" i="15"/>
  <c r="AP89" i="15"/>
  <c r="AL89" i="15"/>
  <c r="AH89" i="15"/>
  <c r="AD89" i="15"/>
  <c r="Z89" i="15"/>
  <c r="V89" i="15"/>
  <c r="R89" i="15"/>
  <c r="N89" i="15"/>
  <c r="J89" i="15"/>
  <c r="F89" i="15"/>
  <c r="B89" i="15"/>
  <c r="AT41" i="16"/>
  <c r="AP41" i="16"/>
  <c r="AL41" i="16"/>
  <c r="AH41" i="16"/>
  <c r="AD41" i="16"/>
  <c r="Z41" i="16"/>
  <c r="V41" i="16"/>
  <c r="R41" i="16"/>
  <c r="N41" i="16"/>
  <c r="J41" i="16"/>
  <c r="F41" i="16"/>
  <c r="B41" i="16"/>
  <c r="AT41" i="15"/>
  <c r="AP41" i="15"/>
  <c r="AL41" i="15"/>
  <c r="AH41" i="15"/>
  <c r="AD41" i="15"/>
  <c r="Z41" i="15"/>
  <c r="V41" i="15"/>
  <c r="R41" i="15"/>
  <c r="N41" i="15"/>
  <c r="J41" i="15"/>
  <c r="F41" i="15"/>
  <c r="B41" i="15"/>
  <c r="J75" i="15" l="1"/>
  <c r="F75" i="15"/>
  <c r="P78" i="2" l="1"/>
  <c r="P77" i="2"/>
  <c r="Q63" i="2"/>
  <c r="Q64" i="2"/>
  <c r="Q65" i="2"/>
  <c r="Q66" i="2"/>
  <c r="Q67" i="2"/>
  <c r="Q68" i="2"/>
  <c r="Q69" i="2"/>
  <c r="Q70" i="2"/>
  <c r="Q71" i="2"/>
  <c r="Q72" i="2"/>
  <c r="Q73" i="2"/>
  <c r="Q62" i="2"/>
  <c r="Q47" i="2"/>
  <c r="Q48" i="2"/>
  <c r="Q49" i="2"/>
  <c r="Q50" i="2"/>
  <c r="Q52" i="2"/>
  <c r="Q53" i="2"/>
  <c r="Q54" i="2"/>
  <c r="Q55" i="2"/>
  <c r="Q56" i="2"/>
  <c r="Q57" i="2"/>
  <c r="Q46" i="2"/>
  <c r="P30" i="2"/>
  <c r="P32" i="2"/>
  <c r="P33" i="2"/>
  <c r="P35" i="2"/>
  <c r="P36" i="2"/>
  <c r="P37" i="2"/>
  <c r="P38" i="2"/>
  <c r="P39" i="2"/>
  <c r="P40" i="2"/>
  <c r="P28" i="2"/>
  <c r="P22" i="2"/>
  <c r="P23" i="2"/>
  <c r="P21" i="2"/>
  <c r="P15" i="2"/>
  <c r="P16" i="2"/>
  <c r="P14" i="2"/>
  <c r="Q51" i="2"/>
  <c r="O48" i="2"/>
  <c r="E11" i="6" l="1"/>
  <c r="E13" i="6" l="1"/>
  <c r="H11" i="6"/>
  <c r="G11" i="6"/>
  <c r="AT90" i="19" l="1"/>
  <c r="AT89" i="19"/>
  <c r="AP90" i="19"/>
  <c r="AP89" i="19"/>
  <c r="AL90" i="19"/>
  <c r="AL89" i="19"/>
  <c r="AH90" i="19"/>
  <c r="AH89" i="19"/>
  <c r="AD90" i="19"/>
  <c r="AD89" i="19"/>
  <c r="Z90" i="19"/>
  <c r="Z89" i="19"/>
  <c r="V90" i="19"/>
  <c r="V89" i="19"/>
  <c r="R90" i="19"/>
  <c r="R89" i="19"/>
  <c r="N90" i="19"/>
  <c r="N89" i="19"/>
  <c r="J90" i="19"/>
  <c r="J89" i="19"/>
  <c r="F90" i="19"/>
  <c r="F89" i="19"/>
  <c r="A94" i="19"/>
  <c r="A93" i="19"/>
  <c r="A92" i="19"/>
  <c r="A91" i="19"/>
  <c r="B90" i="19"/>
  <c r="A90" i="19"/>
  <c r="B89" i="19"/>
  <c r="A89" i="19"/>
  <c r="AT42" i="19"/>
  <c r="AT41" i="19"/>
  <c r="AP42" i="19"/>
  <c r="AP41" i="19"/>
  <c r="AL42" i="19"/>
  <c r="AL41" i="19"/>
  <c r="AH42" i="19"/>
  <c r="AH41" i="19"/>
  <c r="AD42" i="19"/>
  <c r="AD41" i="19"/>
  <c r="Z42" i="19"/>
  <c r="Z41" i="19"/>
  <c r="V42" i="19"/>
  <c r="V41" i="19"/>
  <c r="R42" i="19"/>
  <c r="R41" i="19"/>
  <c r="N42" i="19"/>
  <c r="N41" i="19"/>
  <c r="J42" i="19"/>
  <c r="J41" i="19"/>
  <c r="F42" i="19"/>
  <c r="F41" i="19"/>
  <c r="B42" i="19"/>
  <c r="B41" i="19"/>
  <c r="A41" i="19"/>
  <c r="A42" i="19"/>
  <c r="A43" i="19"/>
  <c r="A44" i="19"/>
  <c r="A45" i="19"/>
  <c r="A46" i="19"/>
  <c r="AT90" i="18"/>
  <c r="AT89" i="18"/>
  <c r="AP90" i="18"/>
  <c r="AP89" i="18"/>
  <c r="AL90" i="18"/>
  <c r="AL89" i="18"/>
  <c r="AH90" i="18"/>
  <c r="AH89" i="18"/>
  <c r="AD90" i="18"/>
  <c r="AD89" i="18"/>
  <c r="Z90" i="18"/>
  <c r="Z89" i="18"/>
  <c r="V90" i="18"/>
  <c r="V89" i="18"/>
  <c r="R90" i="18"/>
  <c r="R89" i="18"/>
  <c r="N90" i="18"/>
  <c r="N89" i="18"/>
  <c r="J90" i="18"/>
  <c r="J89" i="18"/>
  <c r="F90" i="18"/>
  <c r="F89" i="18"/>
  <c r="A94" i="18"/>
  <c r="A93" i="18"/>
  <c r="A92" i="18"/>
  <c r="A91" i="18"/>
  <c r="B90" i="18"/>
  <c r="A90" i="18"/>
  <c r="B89" i="18"/>
  <c r="A89" i="18"/>
  <c r="B65" i="18"/>
  <c r="B66" i="18"/>
  <c r="B67" i="18"/>
  <c r="B68" i="18"/>
  <c r="C68" i="18"/>
  <c r="B69" i="18"/>
  <c r="C69" i="18"/>
  <c r="AT42" i="18"/>
  <c r="AT41" i="18"/>
  <c r="AP42" i="18"/>
  <c r="AP41" i="18"/>
  <c r="AL42" i="18"/>
  <c r="AL41" i="18"/>
  <c r="AH42" i="18"/>
  <c r="AH41" i="18"/>
  <c r="AD42" i="18"/>
  <c r="AD41" i="18"/>
  <c r="Z42" i="18"/>
  <c r="Z41" i="18"/>
  <c r="V42" i="18"/>
  <c r="V41" i="18"/>
  <c r="R42" i="18"/>
  <c r="R41" i="18"/>
  <c r="N42" i="18"/>
  <c r="N41" i="18"/>
  <c r="J42" i="18"/>
  <c r="J41" i="18"/>
  <c r="F42" i="18"/>
  <c r="F41" i="18"/>
  <c r="A46" i="18"/>
  <c r="A45" i="18"/>
  <c r="A44" i="18"/>
  <c r="A43" i="18"/>
  <c r="B42" i="18"/>
  <c r="A42" i="18"/>
  <c r="B41" i="18"/>
  <c r="A41" i="18"/>
  <c r="AT90" i="17"/>
  <c r="AT89" i="17"/>
  <c r="AP90" i="17"/>
  <c r="AP89" i="17"/>
  <c r="AL90" i="17"/>
  <c r="AL89" i="17"/>
  <c r="AH90" i="17"/>
  <c r="AH89" i="17"/>
  <c r="AD90" i="17"/>
  <c r="AD89" i="17"/>
  <c r="Z90" i="17"/>
  <c r="Z89" i="17"/>
  <c r="V90" i="17"/>
  <c r="V89" i="17"/>
  <c r="R90" i="17"/>
  <c r="R89" i="17"/>
  <c r="N90" i="17"/>
  <c r="N89" i="17"/>
  <c r="J90" i="17"/>
  <c r="J89" i="17"/>
  <c r="F90" i="17"/>
  <c r="F89" i="17"/>
  <c r="A94" i="17"/>
  <c r="A93" i="17"/>
  <c r="A92" i="17"/>
  <c r="A91" i="17"/>
  <c r="B90" i="17"/>
  <c r="A90" i="17"/>
  <c r="B89" i="17"/>
  <c r="A89" i="17"/>
  <c r="AT42" i="17"/>
  <c r="AT41" i="17"/>
  <c r="AP42" i="17"/>
  <c r="AP41" i="17"/>
  <c r="AL42" i="17"/>
  <c r="AL41" i="17"/>
  <c r="AH42" i="17"/>
  <c r="AH41" i="17"/>
  <c r="AD42" i="17"/>
  <c r="AD41" i="17"/>
  <c r="Z42" i="17"/>
  <c r="Z41" i="17"/>
  <c r="V42" i="17"/>
  <c r="V41" i="17"/>
  <c r="R42" i="17"/>
  <c r="R41" i="17"/>
  <c r="N42" i="17"/>
  <c r="N41" i="17"/>
  <c r="J42" i="17"/>
  <c r="J41" i="17"/>
  <c r="F42" i="17"/>
  <c r="F41" i="17"/>
  <c r="B42" i="17"/>
  <c r="B41" i="17"/>
  <c r="D68" i="18" l="1"/>
  <c r="D69" i="18"/>
  <c r="B90" i="21"/>
  <c r="A90" i="21"/>
  <c r="B89" i="21"/>
  <c r="A89" i="21"/>
  <c r="B42" i="21"/>
  <c r="B41" i="21"/>
  <c r="AT90" i="16"/>
  <c r="AP90" i="16"/>
  <c r="AL90" i="16"/>
  <c r="AH90" i="16"/>
  <c r="AD90" i="16"/>
  <c r="Z90" i="16"/>
  <c r="V90" i="16"/>
  <c r="R90" i="16"/>
  <c r="N90" i="16"/>
  <c r="J90" i="16"/>
  <c r="F90" i="16"/>
  <c r="AT42" i="16"/>
  <c r="AP42" i="16"/>
  <c r="AL42" i="16"/>
  <c r="AH42" i="16"/>
  <c r="AD42" i="16"/>
  <c r="Z42" i="16"/>
  <c r="V42" i="16"/>
  <c r="R42" i="16"/>
  <c r="N42" i="16"/>
  <c r="J42" i="16"/>
  <c r="F42" i="16"/>
  <c r="AT90" i="15"/>
  <c r="AP90" i="15"/>
  <c r="AL90" i="15"/>
  <c r="AH90" i="15"/>
  <c r="AD90" i="15"/>
  <c r="Z90" i="15"/>
  <c r="V90" i="15"/>
  <c r="R90" i="15"/>
  <c r="N90" i="15"/>
  <c r="J90" i="15"/>
  <c r="F90" i="15"/>
  <c r="AT90" i="3"/>
  <c r="AT89" i="3"/>
  <c r="AP90" i="3"/>
  <c r="AP89" i="3"/>
  <c r="AL90" i="3"/>
  <c r="AL89" i="3"/>
  <c r="AH90" i="3"/>
  <c r="AH89" i="3"/>
  <c r="AD90" i="3"/>
  <c r="AD89" i="3"/>
  <c r="Z90" i="3"/>
  <c r="Z89" i="3"/>
  <c r="V90" i="3"/>
  <c r="V89" i="3"/>
  <c r="R90" i="3"/>
  <c r="R89" i="3"/>
  <c r="N90" i="3"/>
  <c r="N89" i="3"/>
  <c r="J90" i="3"/>
  <c r="J89" i="3"/>
  <c r="F90" i="3"/>
  <c r="F89" i="3"/>
  <c r="AT42" i="3"/>
  <c r="AT41" i="3"/>
  <c r="AP42" i="3"/>
  <c r="AP41" i="3"/>
  <c r="AL42" i="3"/>
  <c r="AL41" i="3"/>
  <c r="AH42" i="3"/>
  <c r="AH41" i="3"/>
  <c r="AD42" i="3"/>
  <c r="AD41" i="3"/>
  <c r="Z42" i="3"/>
  <c r="Z41" i="3"/>
  <c r="V42" i="3"/>
  <c r="V41" i="3"/>
  <c r="R42" i="3"/>
  <c r="R41" i="3"/>
  <c r="N42" i="3"/>
  <c r="N41" i="3"/>
  <c r="J42" i="3"/>
  <c r="J41" i="3"/>
  <c r="F42" i="3"/>
  <c r="F41" i="3"/>
  <c r="B42" i="3"/>
  <c r="B41" i="3"/>
  <c r="AD42" i="15"/>
  <c r="Z42" i="15"/>
  <c r="V42" i="15"/>
  <c r="R42" i="15"/>
  <c r="N42" i="15"/>
  <c r="J42" i="15"/>
  <c r="F42" i="15"/>
  <c r="B42" i="15"/>
  <c r="AT42" i="15"/>
  <c r="AP42" i="15"/>
  <c r="AL42" i="15"/>
  <c r="B42" i="16"/>
  <c r="A42" i="16"/>
  <c r="A41" i="16"/>
  <c r="B90" i="16"/>
  <c r="A90" i="16"/>
  <c r="A89" i="16"/>
  <c r="AU65" i="16"/>
  <c r="AU66" i="16" s="1"/>
  <c r="AA65" i="16"/>
  <c r="AA66" i="16" s="1"/>
  <c r="W65" i="16"/>
  <c r="AU65" i="15"/>
  <c r="AA65" i="15"/>
  <c r="W65" i="15"/>
  <c r="Q103" i="2"/>
  <c r="P103" i="2"/>
  <c r="O103" i="2"/>
  <c r="N103" i="2"/>
  <c r="M103" i="2"/>
  <c r="L103" i="2"/>
  <c r="K103" i="2"/>
  <c r="J103" i="2"/>
  <c r="I103" i="2"/>
  <c r="H103" i="2"/>
  <c r="G103" i="2"/>
  <c r="F103" i="2"/>
  <c r="Q102" i="2"/>
  <c r="P102" i="2"/>
  <c r="O102" i="2"/>
  <c r="N102" i="2"/>
  <c r="M102" i="2"/>
  <c r="L102" i="2"/>
  <c r="K102" i="2"/>
  <c r="J102" i="2"/>
  <c r="I102" i="2"/>
  <c r="H102" i="2"/>
  <c r="G102" i="2"/>
  <c r="F102" i="2"/>
  <c r="Q101" i="2"/>
  <c r="AU65" i="19" s="1"/>
  <c r="AU66" i="19" s="1"/>
  <c r="P101" i="2"/>
  <c r="AQ65" i="19" s="1"/>
  <c r="AQ66" i="19" s="1"/>
  <c r="O101" i="2"/>
  <c r="AM65" i="19" s="1"/>
  <c r="AM66" i="19" s="1"/>
  <c r="N101" i="2"/>
  <c r="AI65" i="19" s="1"/>
  <c r="AI66" i="19" s="1"/>
  <c r="M101" i="2"/>
  <c r="AE65" i="19" s="1"/>
  <c r="AE66" i="19" s="1"/>
  <c r="L101" i="2"/>
  <c r="AA65" i="19" s="1"/>
  <c r="AA66" i="19" s="1"/>
  <c r="K101" i="2"/>
  <c r="W65" i="19" s="1"/>
  <c r="W66" i="19" s="1"/>
  <c r="J101" i="2"/>
  <c r="S65" i="19" s="1"/>
  <c r="S66" i="19" s="1"/>
  <c r="I101" i="2"/>
  <c r="O65" i="19" s="1"/>
  <c r="O66" i="19" s="1"/>
  <c r="H101" i="2"/>
  <c r="K65" i="19" s="1"/>
  <c r="K66" i="19" s="1"/>
  <c r="G101" i="2"/>
  <c r="G65" i="19" s="1"/>
  <c r="G66" i="19" s="1"/>
  <c r="F101" i="2"/>
  <c r="C65" i="19" s="1"/>
  <c r="C66" i="19" s="1"/>
  <c r="G96" i="2"/>
  <c r="F96" i="2"/>
  <c r="G95" i="2"/>
  <c r="F95" i="2"/>
  <c r="Q94" i="2"/>
  <c r="AU65" i="18" s="1"/>
  <c r="P94" i="2"/>
  <c r="AQ65" i="18" s="1"/>
  <c r="O94" i="2"/>
  <c r="AM65" i="18" s="1"/>
  <c r="N94" i="2"/>
  <c r="AI65" i="18" s="1"/>
  <c r="M94" i="2"/>
  <c r="AE65" i="18" s="1"/>
  <c r="L94" i="2"/>
  <c r="AA65" i="18" s="1"/>
  <c r="K94" i="2"/>
  <c r="W65" i="18" s="1"/>
  <c r="J94" i="2"/>
  <c r="S65" i="18" s="1"/>
  <c r="I94" i="2"/>
  <c r="O65" i="18" s="1"/>
  <c r="H94" i="2"/>
  <c r="K65" i="18" s="1"/>
  <c r="G94" i="2"/>
  <c r="G65" i="18" s="1"/>
  <c r="G66" i="18" s="1"/>
  <c r="F94" i="2"/>
  <c r="C65" i="18" s="1"/>
  <c r="C66" i="18" s="1"/>
  <c r="C67" i="18" s="1"/>
  <c r="D67" i="18" s="1"/>
  <c r="W66" i="16" l="1"/>
  <c r="C65" i="16"/>
  <c r="C66" i="16" s="1"/>
  <c r="C65" i="15"/>
  <c r="C17" i="15"/>
  <c r="G65" i="15"/>
  <c r="G66" i="15" s="1"/>
  <c r="G67" i="15" s="1"/>
  <c r="AE65" i="15"/>
  <c r="G65" i="16"/>
  <c r="G66" i="16" s="1"/>
  <c r="AE65" i="16"/>
  <c r="AE66" i="16" s="1"/>
  <c r="K65" i="15"/>
  <c r="AI65" i="15"/>
  <c r="K65" i="16"/>
  <c r="K66" i="16" s="1"/>
  <c r="AI65" i="16"/>
  <c r="AI66" i="16" s="1"/>
  <c r="D66" i="18"/>
  <c r="C70" i="18"/>
  <c r="O65" i="15"/>
  <c r="AM65" i="15"/>
  <c r="O65" i="16"/>
  <c r="O66" i="16" s="1"/>
  <c r="AM65" i="16"/>
  <c r="AM66" i="16" s="1"/>
  <c r="S65" i="15"/>
  <c r="AQ65" i="15"/>
  <c r="S65" i="16"/>
  <c r="S66" i="16" s="1"/>
  <c r="AQ65" i="16"/>
  <c r="AQ66" i="16" s="1"/>
  <c r="D65" i="18"/>
  <c r="C67" i="16"/>
  <c r="B90" i="15"/>
  <c r="A90" i="15"/>
  <c r="A89" i="15"/>
  <c r="AH42" i="15"/>
  <c r="B90" i="3"/>
  <c r="A90" i="3"/>
  <c r="A89" i="3"/>
  <c r="C66" i="15" l="1"/>
  <c r="C67" i="15"/>
  <c r="B90" i="20"/>
  <c r="B89" i="20"/>
  <c r="A90" i="20"/>
  <c r="B42" i="20"/>
  <c r="F78" i="2"/>
  <c r="G78" i="2" s="1"/>
  <c r="H78" i="2" s="1"/>
  <c r="I78" i="2" s="1"/>
  <c r="J78" i="2" s="1"/>
  <c r="K78" i="2" s="1"/>
  <c r="L78" i="2" s="1"/>
  <c r="M78" i="2" s="1"/>
  <c r="N78" i="2" s="1"/>
  <c r="O78" i="2" s="1"/>
  <c r="Q78" i="2" s="1"/>
  <c r="R78" i="2" s="1"/>
  <c r="S78" i="2" s="1"/>
  <c r="T78" i="2" s="1"/>
  <c r="U78" i="2" s="1"/>
  <c r="V78" i="2" s="1"/>
  <c r="W78" i="2" s="1"/>
  <c r="X78" i="2" s="1"/>
  <c r="Y78" i="2" s="1"/>
  <c r="Z78" i="2" s="1"/>
  <c r="AA78" i="2" s="1"/>
  <c r="AB78" i="2" s="1"/>
  <c r="AC78" i="2" s="1"/>
  <c r="AD78" i="2" s="1"/>
  <c r="AE78" i="2" s="1"/>
  <c r="AF78" i="2" s="1"/>
  <c r="AG78" i="2" s="1"/>
  <c r="AH78" i="2" s="1"/>
  <c r="AI78" i="2" s="1"/>
  <c r="AJ78" i="2" s="1"/>
  <c r="AK78" i="2" s="1"/>
  <c r="AL78" i="2" s="1"/>
  <c r="E78" i="2"/>
  <c r="D78" i="2"/>
  <c r="C78" i="2"/>
  <c r="R15" i="6"/>
  <c r="S15" i="6"/>
  <c r="AB45" i="2" l="1"/>
  <c r="E9" i="6"/>
  <c r="E5" i="6"/>
  <c r="A75" i="3"/>
  <c r="I34" i="2"/>
  <c r="I31" i="2"/>
  <c r="I29" i="2"/>
  <c r="D77" i="2"/>
  <c r="E77" i="2"/>
  <c r="F77" i="2"/>
  <c r="G77" i="2"/>
  <c r="H77" i="2"/>
  <c r="I77" i="2" s="1"/>
  <c r="J77" i="2" s="1"/>
  <c r="K77" i="2" s="1"/>
  <c r="L77" i="2" s="1"/>
  <c r="M77" i="2" s="1"/>
  <c r="N77" i="2" s="1"/>
  <c r="Q77" i="2" s="1"/>
  <c r="R77" i="2" s="1"/>
  <c r="S77" i="2" s="1"/>
  <c r="T77" i="2" s="1"/>
  <c r="U77" i="2" s="1"/>
  <c r="C77" i="2"/>
  <c r="E49" i="2"/>
  <c r="B9" i="2"/>
  <c r="E6" i="6" l="1"/>
  <c r="F5" i="6"/>
  <c r="G5" i="6" s="1"/>
  <c r="H5" i="6"/>
  <c r="F9" i="6"/>
  <c r="H9" i="6"/>
  <c r="I9" i="6" s="1"/>
  <c r="V77" i="2"/>
  <c r="W77" i="2" s="1"/>
  <c r="X77" i="2" s="1"/>
  <c r="Y77" i="2" s="1"/>
  <c r="Z77" i="2" s="1"/>
  <c r="AA77" i="2" s="1"/>
  <c r="AB77" i="2" s="1"/>
  <c r="AC77" i="2" s="1"/>
  <c r="AD77" i="2" s="1"/>
  <c r="AE77" i="2" s="1"/>
  <c r="AF77" i="2" s="1"/>
  <c r="AG77" i="2" s="1"/>
  <c r="AH77" i="2" s="1"/>
  <c r="AI77" i="2" s="1"/>
  <c r="AJ77" i="2" s="1"/>
  <c r="AK77" i="2" s="1"/>
  <c r="AL77" i="2" s="1"/>
  <c r="O34" i="2"/>
  <c r="P34" i="2" s="1"/>
  <c r="O29" i="2"/>
  <c r="P29" i="2" s="1"/>
  <c r="O31" i="2"/>
  <c r="P31" i="2" s="1"/>
  <c r="C69" i="21"/>
  <c r="C68" i="21"/>
  <c r="D18" i="2"/>
  <c r="E18" i="2" s="1"/>
  <c r="F18" i="2" s="1"/>
  <c r="G18" i="2" s="1"/>
  <c r="H18" i="2" s="1"/>
  <c r="I18" i="2" s="1"/>
  <c r="J18" i="2" s="1"/>
  <c r="K18" i="2" s="1"/>
  <c r="L18" i="2" s="1"/>
  <c r="N18" i="2" s="1"/>
  <c r="P18" i="2" s="1"/>
  <c r="Q18" i="2" s="1"/>
  <c r="R18" i="2" s="1"/>
  <c r="S18" i="2" s="1"/>
  <c r="T18" i="2" s="1"/>
  <c r="U18" i="2" s="1"/>
  <c r="V18" i="2" s="1"/>
  <c r="W18" i="2" s="1"/>
  <c r="X18" i="2" s="1"/>
  <c r="Y18" i="2" s="1"/>
  <c r="Z18" i="2" s="1"/>
  <c r="AB18" i="2" s="1"/>
  <c r="AC18" i="2" s="1"/>
  <c r="AD18" i="2" s="1"/>
  <c r="AE18" i="2" s="1"/>
  <c r="AF18" i="2" s="1"/>
  <c r="AG18" i="2" s="1"/>
  <c r="AH18" i="2" s="1"/>
  <c r="AI18" i="2" s="1"/>
  <c r="AJ18" i="2" s="1"/>
  <c r="AK18" i="2" s="1"/>
  <c r="AL18" i="2" s="1"/>
  <c r="C69" i="20"/>
  <c r="C68" i="20"/>
  <c r="F6" i="6" l="1"/>
  <c r="H6" i="6"/>
  <c r="K4" i="23"/>
  <c r="L4" i="23"/>
  <c r="M4" i="23"/>
  <c r="N4" i="23"/>
  <c r="O4" i="23"/>
  <c r="P4" i="23"/>
  <c r="Q4" i="23"/>
  <c r="C4" i="23"/>
  <c r="D4" i="23"/>
  <c r="E4" i="23"/>
  <c r="F4" i="23"/>
  <c r="G4" i="23"/>
  <c r="H4" i="23"/>
  <c r="I4" i="23"/>
  <c r="A37" i="19"/>
  <c r="A36" i="19"/>
  <c r="A35" i="19"/>
  <c r="A34" i="19"/>
  <c r="A33" i="19"/>
  <c r="A32" i="19"/>
  <c r="A31" i="19"/>
  <c r="A30" i="19"/>
  <c r="A29" i="19"/>
  <c r="A28" i="19"/>
  <c r="A27" i="19"/>
  <c r="A26" i="19"/>
  <c r="AU25" i="19"/>
  <c r="AM25" i="19"/>
  <c r="AE25" i="19"/>
  <c r="AA25" i="19"/>
  <c r="O25" i="19"/>
  <c r="K25" i="19"/>
  <c r="A25" i="19"/>
  <c r="AQ25" i="19" s="1"/>
  <c r="A37" i="18"/>
  <c r="A36" i="18"/>
  <c r="A35" i="18"/>
  <c r="A34" i="18"/>
  <c r="A82" i="18" s="1"/>
  <c r="A33" i="18"/>
  <c r="A32" i="18"/>
  <c r="A31" i="18"/>
  <c r="A30" i="18"/>
  <c r="A29" i="18"/>
  <c r="A77" i="18" s="1"/>
  <c r="A28" i="18"/>
  <c r="A76" i="18" s="1"/>
  <c r="A27" i="18"/>
  <c r="A75" i="18" s="1"/>
  <c r="A26" i="18"/>
  <c r="A74" i="18" s="1"/>
  <c r="AU25" i="18"/>
  <c r="A25" i="18"/>
  <c r="AQ25" i="18" s="1"/>
  <c r="A37" i="17"/>
  <c r="A36" i="17"/>
  <c r="A35" i="17"/>
  <c r="A34" i="17"/>
  <c r="A33" i="17"/>
  <c r="A32" i="17"/>
  <c r="A31" i="17"/>
  <c r="A30" i="17"/>
  <c r="A29" i="17"/>
  <c r="A28" i="17"/>
  <c r="A76" i="17" s="1"/>
  <c r="A27" i="17"/>
  <c r="A75" i="17" s="1"/>
  <c r="A26" i="17"/>
  <c r="A74" i="17" s="1"/>
  <c r="AU25" i="17"/>
  <c r="C25" i="17"/>
  <c r="A25" i="17"/>
  <c r="AQ25" i="17" s="1"/>
  <c r="A36" i="15"/>
  <c r="A35" i="15"/>
  <c r="A34" i="15"/>
  <c r="A33" i="15"/>
  <c r="A32" i="15"/>
  <c r="A31" i="15"/>
  <c r="A30" i="15"/>
  <c r="A29" i="15"/>
  <c r="A28" i="15"/>
  <c r="A27" i="15"/>
  <c r="A26" i="15"/>
  <c r="AM25" i="15"/>
  <c r="A25" i="15"/>
  <c r="O25" i="15" s="1"/>
  <c r="A85" i="18"/>
  <c r="A84" i="18"/>
  <c r="A83" i="18"/>
  <c r="A81" i="18"/>
  <c r="A80" i="18"/>
  <c r="A79" i="18"/>
  <c r="A78" i="18"/>
  <c r="A85" i="17"/>
  <c r="A84" i="17"/>
  <c r="A82" i="17"/>
  <c r="A81" i="17"/>
  <c r="A80" i="17"/>
  <c r="A79" i="17"/>
  <c r="A73" i="17"/>
  <c r="A85" i="3"/>
  <c r="A81" i="3"/>
  <c r="A80" i="3"/>
  <c r="A77" i="3"/>
  <c r="A74" i="3"/>
  <c r="A25" i="3"/>
  <c r="AQ25" i="3" s="1"/>
  <c r="O25" i="3"/>
  <c r="S25" i="3"/>
  <c r="AE25" i="3"/>
  <c r="AI25" i="3"/>
  <c r="AM25" i="3"/>
  <c r="A26" i="3"/>
  <c r="A27" i="3"/>
  <c r="A28" i="3"/>
  <c r="A76" i="3" s="1"/>
  <c r="A29" i="3"/>
  <c r="A30" i="3"/>
  <c r="A31" i="3"/>
  <c r="A79" i="3" s="1"/>
  <c r="A32" i="3"/>
  <c r="A33" i="3"/>
  <c r="A34" i="3"/>
  <c r="A82" i="3" s="1"/>
  <c r="A35" i="3"/>
  <c r="A36" i="3"/>
  <c r="A84" i="3" s="1"/>
  <c r="A37" i="3"/>
  <c r="AD74" i="2"/>
  <c r="AE74" i="2" s="1"/>
  <c r="AF74" i="2" s="1"/>
  <c r="AG74" i="2" s="1"/>
  <c r="AH74" i="2" s="1"/>
  <c r="AI74" i="2" s="1"/>
  <c r="AJ74" i="2" s="1"/>
  <c r="AK74" i="2" s="1"/>
  <c r="AL74" i="2" s="1"/>
  <c r="AM74" i="2" s="1"/>
  <c r="AC74" i="2"/>
  <c r="AC73" i="2"/>
  <c r="AD73" i="2" s="1"/>
  <c r="AE73" i="2" s="1"/>
  <c r="AF73" i="2" s="1"/>
  <c r="AG73" i="2" s="1"/>
  <c r="AH73" i="2" s="1"/>
  <c r="AI73" i="2" s="1"/>
  <c r="AJ73" i="2" s="1"/>
  <c r="AK73" i="2" s="1"/>
  <c r="AL73" i="2" s="1"/>
  <c r="AM73" i="2" s="1"/>
  <c r="AC72" i="2"/>
  <c r="AD72" i="2" s="1"/>
  <c r="AE72" i="2" s="1"/>
  <c r="AF72" i="2" s="1"/>
  <c r="AG72" i="2" s="1"/>
  <c r="AH72" i="2" s="1"/>
  <c r="AI72" i="2" s="1"/>
  <c r="AJ72" i="2" s="1"/>
  <c r="AK72" i="2" s="1"/>
  <c r="AL72" i="2" s="1"/>
  <c r="AM72" i="2" s="1"/>
  <c r="AC71" i="2"/>
  <c r="AD71" i="2" s="1"/>
  <c r="AE71" i="2" s="1"/>
  <c r="AF71" i="2" s="1"/>
  <c r="AG71" i="2" s="1"/>
  <c r="AH71" i="2" s="1"/>
  <c r="AI71" i="2" s="1"/>
  <c r="AJ71" i="2" s="1"/>
  <c r="AK71" i="2" s="1"/>
  <c r="AL71" i="2" s="1"/>
  <c r="AM71" i="2" s="1"/>
  <c r="AC70" i="2"/>
  <c r="AD70" i="2" s="1"/>
  <c r="AE70" i="2" s="1"/>
  <c r="AF70" i="2" s="1"/>
  <c r="AG70" i="2" s="1"/>
  <c r="AH70" i="2" s="1"/>
  <c r="AI70" i="2" s="1"/>
  <c r="AJ70" i="2" s="1"/>
  <c r="AK70" i="2" s="1"/>
  <c r="AL70" i="2" s="1"/>
  <c r="AM70" i="2" s="1"/>
  <c r="AD69" i="2"/>
  <c r="AE69" i="2" s="1"/>
  <c r="AF69" i="2" s="1"/>
  <c r="AG69" i="2" s="1"/>
  <c r="AH69" i="2" s="1"/>
  <c r="AI69" i="2" s="1"/>
  <c r="AJ69" i="2" s="1"/>
  <c r="AK69" i="2" s="1"/>
  <c r="AL69" i="2" s="1"/>
  <c r="AM69" i="2" s="1"/>
  <c r="AC69" i="2"/>
  <c r="AC68" i="2"/>
  <c r="AD68" i="2" s="1"/>
  <c r="AE68" i="2" s="1"/>
  <c r="AF68" i="2" s="1"/>
  <c r="AG68" i="2" s="1"/>
  <c r="AH68" i="2" s="1"/>
  <c r="AI68" i="2" s="1"/>
  <c r="AJ68" i="2" s="1"/>
  <c r="AK68" i="2" s="1"/>
  <c r="AL68" i="2" s="1"/>
  <c r="AM68" i="2" s="1"/>
  <c r="AC67" i="2"/>
  <c r="AD67" i="2" s="1"/>
  <c r="AE67" i="2" s="1"/>
  <c r="AF67" i="2" s="1"/>
  <c r="AG67" i="2" s="1"/>
  <c r="AH67" i="2" s="1"/>
  <c r="AI67" i="2" s="1"/>
  <c r="AJ67" i="2" s="1"/>
  <c r="AK67" i="2" s="1"/>
  <c r="AL67" i="2" s="1"/>
  <c r="AM67" i="2" s="1"/>
  <c r="AC66" i="2"/>
  <c r="AD66" i="2" s="1"/>
  <c r="AE66" i="2" s="1"/>
  <c r="AF66" i="2" s="1"/>
  <c r="AG66" i="2" s="1"/>
  <c r="AH66" i="2" s="1"/>
  <c r="AI66" i="2" s="1"/>
  <c r="AJ66" i="2" s="1"/>
  <c r="AK66" i="2" s="1"/>
  <c r="AL66" i="2" s="1"/>
  <c r="AM66" i="2" s="1"/>
  <c r="AC65" i="2"/>
  <c r="AD65" i="2" s="1"/>
  <c r="AE65" i="2" s="1"/>
  <c r="AF65" i="2" s="1"/>
  <c r="AG65" i="2" s="1"/>
  <c r="AH65" i="2" s="1"/>
  <c r="AI65" i="2" s="1"/>
  <c r="AJ65" i="2" s="1"/>
  <c r="AK65" i="2" s="1"/>
  <c r="AL65" i="2" s="1"/>
  <c r="AM65" i="2" s="1"/>
  <c r="AC64" i="2"/>
  <c r="AD64" i="2" s="1"/>
  <c r="AE64" i="2" s="1"/>
  <c r="AF64" i="2" s="1"/>
  <c r="AG64" i="2" s="1"/>
  <c r="AH64" i="2" s="1"/>
  <c r="AI64" i="2" s="1"/>
  <c r="AJ64" i="2" s="1"/>
  <c r="AK64" i="2" s="1"/>
  <c r="AL64" i="2" s="1"/>
  <c r="AM64" i="2" s="1"/>
  <c r="AC63" i="2"/>
  <c r="AD63" i="2" s="1"/>
  <c r="AE63" i="2" s="1"/>
  <c r="AF63" i="2" s="1"/>
  <c r="AG63" i="2" s="1"/>
  <c r="AH63" i="2" s="1"/>
  <c r="AI63" i="2" s="1"/>
  <c r="AJ63" i="2" s="1"/>
  <c r="AK63" i="2" s="1"/>
  <c r="AL63" i="2" s="1"/>
  <c r="AM63" i="2" s="1"/>
  <c r="AC62" i="2"/>
  <c r="AD62" i="2" s="1"/>
  <c r="AE62" i="2" s="1"/>
  <c r="AF62" i="2" s="1"/>
  <c r="AG62" i="2" s="1"/>
  <c r="AH62" i="2" s="1"/>
  <c r="AI62" i="2" s="1"/>
  <c r="AJ62" i="2" s="1"/>
  <c r="AK62" i="2" s="1"/>
  <c r="AL62" i="2" s="1"/>
  <c r="AM62" i="2" s="1"/>
  <c r="AC58" i="2"/>
  <c r="AD58" i="2" s="1"/>
  <c r="AE58" i="2" s="1"/>
  <c r="AF58" i="2" s="1"/>
  <c r="AG58" i="2" s="1"/>
  <c r="AH58" i="2" s="1"/>
  <c r="AI58" i="2" s="1"/>
  <c r="AJ58" i="2" s="1"/>
  <c r="AK58" i="2" s="1"/>
  <c r="AL58" i="2" s="1"/>
  <c r="AM58" i="2" s="1"/>
  <c r="AC57" i="2"/>
  <c r="AD57" i="2" s="1"/>
  <c r="AE57" i="2" s="1"/>
  <c r="AF57" i="2" s="1"/>
  <c r="AG57" i="2" s="1"/>
  <c r="AH57" i="2" s="1"/>
  <c r="AI57" i="2" s="1"/>
  <c r="AJ57" i="2" s="1"/>
  <c r="AK57" i="2" s="1"/>
  <c r="AL57" i="2" s="1"/>
  <c r="AM57" i="2" s="1"/>
  <c r="AC56" i="2"/>
  <c r="AD56" i="2" s="1"/>
  <c r="AE56" i="2" s="1"/>
  <c r="AF56" i="2" s="1"/>
  <c r="AG56" i="2" s="1"/>
  <c r="AH56" i="2" s="1"/>
  <c r="AI56" i="2" s="1"/>
  <c r="AJ56" i="2" s="1"/>
  <c r="AK56" i="2" s="1"/>
  <c r="AL56" i="2" s="1"/>
  <c r="AM56" i="2" s="1"/>
  <c r="AC55" i="2"/>
  <c r="AD55" i="2" s="1"/>
  <c r="AE55" i="2" s="1"/>
  <c r="AF55" i="2" s="1"/>
  <c r="AG55" i="2" s="1"/>
  <c r="AH55" i="2" s="1"/>
  <c r="AI55" i="2" s="1"/>
  <c r="AJ55" i="2" s="1"/>
  <c r="AK55" i="2" s="1"/>
  <c r="AL55" i="2" s="1"/>
  <c r="AM55" i="2" s="1"/>
  <c r="AC54" i="2"/>
  <c r="AD54" i="2" s="1"/>
  <c r="AE54" i="2" s="1"/>
  <c r="AF54" i="2" s="1"/>
  <c r="AG54" i="2" s="1"/>
  <c r="AH54" i="2" s="1"/>
  <c r="AI54" i="2" s="1"/>
  <c r="AJ54" i="2" s="1"/>
  <c r="AK54" i="2" s="1"/>
  <c r="AL54" i="2" s="1"/>
  <c r="AM54" i="2" s="1"/>
  <c r="AC53" i="2"/>
  <c r="AD53" i="2" s="1"/>
  <c r="AE53" i="2" s="1"/>
  <c r="AF53" i="2" s="1"/>
  <c r="AG53" i="2" s="1"/>
  <c r="AH53" i="2" s="1"/>
  <c r="AI53" i="2" s="1"/>
  <c r="AJ53" i="2" s="1"/>
  <c r="AK53" i="2" s="1"/>
  <c r="AL53" i="2" s="1"/>
  <c r="AM53" i="2" s="1"/>
  <c r="AC52" i="2"/>
  <c r="AD52" i="2" s="1"/>
  <c r="AE52" i="2" s="1"/>
  <c r="AF52" i="2" s="1"/>
  <c r="AG52" i="2" s="1"/>
  <c r="AH52" i="2" s="1"/>
  <c r="AI52" i="2" s="1"/>
  <c r="AJ52" i="2" s="1"/>
  <c r="AK52" i="2" s="1"/>
  <c r="AL52" i="2" s="1"/>
  <c r="AM52" i="2" s="1"/>
  <c r="AC51" i="2"/>
  <c r="AD51" i="2" s="1"/>
  <c r="AE51" i="2" s="1"/>
  <c r="AF51" i="2" s="1"/>
  <c r="AG51" i="2" s="1"/>
  <c r="AH51" i="2" s="1"/>
  <c r="AI51" i="2" s="1"/>
  <c r="AJ51" i="2" s="1"/>
  <c r="AK51" i="2" s="1"/>
  <c r="AL51" i="2" s="1"/>
  <c r="AM51" i="2" s="1"/>
  <c r="AC50" i="2"/>
  <c r="AD50" i="2" s="1"/>
  <c r="AE50" i="2" s="1"/>
  <c r="AF50" i="2" s="1"/>
  <c r="AG50" i="2" s="1"/>
  <c r="AH50" i="2" s="1"/>
  <c r="AI50" i="2" s="1"/>
  <c r="AJ50" i="2" s="1"/>
  <c r="AK50" i="2" s="1"/>
  <c r="AL50" i="2" s="1"/>
  <c r="AM50" i="2" s="1"/>
  <c r="AC49" i="2"/>
  <c r="AD49" i="2" s="1"/>
  <c r="AE49" i="2" s="1"/>
  <c r="AF49" i="2" s="1"/>
  <c r="AG49" i="2" s="1"/>
  <c r="AH49" i="2" s="1"/>
  <c r="AI49" i="2" s="1"/>
  <c r="AJ49" i="2" s="1"/>
  <c r="AK49" i="2" s="1"/>
  <c r="AL49" i="2" s="1"/>
  <c r="AM49" i="2" s="1"/>
  <c r="AC48" i="2"/>
  <c r="AD48" i="2" s="1"/>
  <c r="AE48" i="2" s="1"/>
  <c r="AF48" i="2" s="1"/>
  <c r="AG48" i="2" s="1"/>
  <c r="AH48" i="2" s="1"/>
  <c r="AI48" i="2" s="1"/>
  <c r="AJ48" i="2" s="1"/>
  <c r="AK48" i="2" s="1"/>
  <c r="AL48" i="2" s="1"/>
  <c r="AM48" i="2" s="1"/>
  <c r="AC47" i="2"/>
  <c r="AD47" i="2" s="1"/>
  <c r="AE47" i="2" s="1"/>
  <c r="AF47" i="2" s="1"/>
  <c r="AG47" i="2" s="1"/>
  <c r="AH47" i="2" s="1"/>
  <c r="AI47" i="2" s="1"/>
  <c r="AJ47" i="2" s="1"/>
  <c r="AK47" i="2" s="1"/>
  <c r="AL47" i="2" s="1"/>
  <c r="AM47" i="2" s="1"/>
  <c r="AC46" i="2"/>
  <c r="AD46" i="2" s="1"/>
  <c r="AE46" i="2" s="1"/>
  <c r="AF46" i="2" s="1"/>
  <c r="AG46" i="2" s="1"/>
  <c r="AH46" i="2" s="1"/>
  <c r="AI46" i="2" s="1"/>
  <c r="AJ46" i="2" s="1"/>
  <c r="AK46" i="2" s="1"/>
  <c r="AL46" i="2" s="1"/>
  <c r="AM46" i="2" s="1"/>
  <c r="Q74" i="2"/>
  <c r="R74" i="2" s="1"/>
  <c r="S74" i="2" s="1"/>
  <c r="T74" i="2" s="1"/>
  <c r="U74" i="2" s="1"/>
  <c r="V74" i="2" s="1"/>
  <c r="W74" i="2" s="1"/>
  <c r="X74" i="2" s="1"/>
  <c r="Y74" i="2" s="1"/>
  <c r="Z74" i="2" s="1"/>
  <c r="AA74" i="2" s="1"/>
  <c r="R73" i="2"/>
  <c r="S73" i="2" s="1"/>
  <c r="T73" i="2" s="1"/>
  <c r="U73" i="2" s="1"/>
  <c r="V73" i="2" s="1"/>
  <c r="W73" i="2" s="1"/>
  <c r="X73" i="2" s="1"/>
  <c r="Y73" i="2" s="1"/>
  <c r="Z73" i="2" s="1"/>
  <c r="AA73" i="2" s="1"/>
  <c r="R72" i="2"/>
  <c r="S72" i="2" s="1"/>
  <c r="T72" i="2" s="1"/>
  <c r="U72" i="2" s="1"/>
  <c r="V72" i="2" s="1"/>
  <c r="W72" i="2" s="1"/>
  <c r="X72" i="2" s="1"/>
  <c r="Y72" i="2" s="1"/>
  <c r="Z72" i="2" s="1"/>
  <c r="AA72" i="2" s="1"/>
  <c r="R71" i="2"/>
  <c r="S71" i="2" s="1"/>
  <c r="T71" i="2" s="1"/>
  <c r="U71" i="2" s="1"/>
  <c r="V71" i="2" s="1"/>
  <c r="W71" i="2" s="1"/>
  <c r="X71" i="2" s="1"/>
  <c r="Y71" i="2" s="1"/>
  <c r="Z71" i="2" s="1"/>
  <c r="AA71" i="2" s="1"/>
  <c r="R70" i="2"/>
  <c r="S70" i="2" s="1"/>
  <c r="T70" i="2" s="1"/>
  <c r="U70" i="2" s="1"/>
  <c r="V70" i="2" s="1"/>
  <c r="W70" i="2" s="1"/>
  <c r="X70" i="2" s="1"/>
  <c r="Y70" i="2" s="1"/>
  <c r="Z70" i="2" s="1"/>
  <c r="AA70" i="2" s="1"/>
  <c r="R69" i="2"/>
  <c r="S69" i="2" s="1"/>
  <c r="T69" i="2" s="1"/>
  <c r="U69" i="2" s="1"/>
  <c r="V69" i="2" s="1"/>
  <c r="W69" i="2" s="1"/>
  <c r="X69" i="2" s="1"/>
  <c r="Y69" i="2" s="1"/>
  <c r="Z69" i="2" s="1"/>
  <c r="AA69" i="2" s="1"/>
  <c r="R68" i="2"/>
  <c r="S68" i="2" s="1"/>
  <c r="T68" i="2" s="1"/>
  <c r="U68" i="2" s="1"/>
  <c r="V68" i="2" s="1"/>
  <c r="W68" i="2" s="1"/>
  <c r="X68" i="2" s="1"/>
  <c r="Y68" i="2" s="1"/>
  <c r="Z68" i="2" s="1"/>
  <c r="AA68" i="2" s="1"/>
  <c r="R67" i="2"/>
  <c r="S67" i="2" s="1"/>
  <c r="T67" i="2" s="1"/>
  <c r="U67" i="2" s="1"/>
  <c r="V67" i="2" s="1"/>
  <c r="W67" i="2" s="1"/>
  <c r="X67" i="2" s="1"/>
  <c r="Y67" i="2" s="1"/>
  <c r="Z67" i="2" s="1"/>
  <c r="AA67" i="2" s="1"/>
  <c r="R66" i="2"/>
  <c r="S66" i="2" s="1"/>
  <c r="T66" i="2" s="1"/>
  <c r="U66" i="2" s="1"/>
  <c r="V66" i="2" s="1"/>
  <c r="W66" i="2" s="1"/>
  <c r="X66" i="2" s="1"/>
  <c r="Y66" i="2" s="1"/>
  <c r="Z66" i="2" s="1"/>
  <c r="AA66" i="2" s="1"/>
  <c r="R65" i="2"/>
  <c r="S65" i="2" s="1"/>
  <c r="T65" i="2" s="1"/>
  <c r="U65" i="2" s="1"/>
  <c r="V65" i="2" s="1"/>
  <c r="W65" i="2" s="1"/>
  <c r="X65" i="2" s="1"/>
  <c r="Y65" i="2" s="1"/>
  <c r="Z65" i="2" s="1"/>
  <c r="AA65" i="2" s="1"/>
  <c r="R64" i="2"/>
  <c r="S64" i="2" s="1"/>
  <c r="T64" i="2" s="1"/>
  <c r="U64" i="2" s="1"/>
  <c r="V64" i="2" s="1"/>
  <c r="W64" i="2" s="1"/>
  <c r="X64" i="2" s="1"/>
  <c r="Y64" i="2" s="1"/>
  <c r="Z64" i="2" s="1"/>
  <c r="AA64" i="2" s="1"/>
  <c r="R63" i="2"/>
  <c r="S63" i="2" s="1"/>
  <c r="T63" i="2" s="1"/>
  <c r="U63" i="2" s="1"/>
  <c r="V63" i="2" s="1"/>
  <c r="W63" i="2" s="1"/>
  <c r="X63" i="2" s="1"/>
  <c r="Y63" i="2" s="1"/>
  <c r="Z63" i="2" s="1"/>
  <c r="AA63" i="2" s="1"/>
  <c r="R62" i="2"/>
  <c r="S62" i="2" s="1"/>
  <c r="T62" i="2" s="1"/>
  <c r="U62" i="2" s="1"/>
  <c r="V62" i="2" s="1"/>
  <c r="W62" i="2" s="1"/>
  <c r="X62" i="2" s="1"/>
  <c r="Y62" i="2" s="1"/>
  <c r="Z62" i="2" s="1"/>
  <c r="AA62" i="2" s="1"/>
  <c r="E74" i="2"/>
  <c r="F74" i="2" s="1"/>
  <c r="G74" i="2" s="1"/>
  <c r="H74" i="2" s="1"/>
  <c r="I74" i="2" s="1"/>
  <c r="J74" i="2" s="1"/>
  <c r="K74" i="2" s="1"/>
  <c r="L74" i="2" s="1"/>
  <c r="M74" i="2" s="1"/>
  <c r="N74" i="2" s="1"/>
  <c r="O74" i="2" s="1"/>
  <c r="E73" i="2"/>
  <c r="F73" i="2" s="1"/>
  <c r="G73" i="2" s="1"/>
  <c r="H73" i="2" s="1"/>
  <c r="I73" i="2" s="1"/>
  <c r="J73" i="2" s="1"/>
  <c r="K73" i="2" s="1"/>
  <c r="L73" i="2" s="1"/>
  <c r="M73" i="2" s="1"/>
  <c r="N73" i="2" s="1"/>
  <c r="O73" i="2" s="1"/>
  <c r="F72" i="2"/>
  <c r="G72" i="2" s="1"/>
  <c r="H72" i="2" s="1"/>
  <c r="I72" i="2" s="1"/>
  <c r="J72" i="2" s="1"/>
  <c r="K72" i="2" s="1"/>
  <c r="L72" i="2" s="1"/>
  <c r="M72" i="2" s="1"/>
  <c r="N72" i="2" s="1"/>
  <c r="O72" i="2" s="1"/>
  <c r="E72" i="2"/>
  <c r="E71" i="2"/>
  <c r="F71" i="2" s="1"/>
  <c r="G71" i="2" s="1"/>
  <c r="H71" i="2" s="1"/>
  <c r="I71" i="2" s="1"/>
  <c r="J71" i="2" s="1"/>
  <c r="K71" i="2" s="1"/>
  <c r="L71" i="2" s="1"/>
  <c r="M71" i="2" s="1"/>
  <c r="N71" i="2" s="1"/>
  <c r="O71" i="2" s="1"/>
  <c r="F70" i="2"/>
  <c r="G70" i="2" s="1"/>
  <c r="H70" i="2" s="1"/>
  <c r="I70" i="2" s="1"/>
  <c r="J70" i="2" s="1"/>
  <c r="K70" i="2" s="1"/>
  <c r="L70" i="2" s="1"/>
  <c r="M70" i="2" s="1"/>
  <c r="N70" i="2" s="1"/>
  <c r="O70" i="2" s="1"/>
  <c r="E70" i="2"/>
  <c r="E69" i="2"/>
  <c r="F69" i="2" s="1"/>
  <c r="G69" i="2" s="1"/>
  <c r="H69" i="2" s="1"/>
  <c r="I69" i="2" s="1"/>
  <c r="J69" i="2" s="1"/>
  <c r="K69" i="2" s="1"/>
  <c r="L69" i="2" s="1"/>
  <c r="M69" i="2" s="1"/>
  <c r="N69" i="2" s="1"/>
  <c r="O69" i="2" s="1"/>
  <c r="E68" i="2"/>
  <c r="F68" i="2" s="1"/>
  <c r="G68" i="2" s="1"/>
  <c r="H68" i="2" s="1"/>
  <c r="I68" i="2" s="1"/>
  <c r="J68" i="2" s="1"/>
  <c r="K68" i="2" s="1"/>
  <c r="L68" i="2" s="1"/>
  <c r="M68" i="2" s="1"/>
  <c r="N68" i="2" s="1"/>
  <c r="O68" i="2" s="1"/>
  <c r="E67" i="2"/>
  <c r="F67" i="2" s="1"/>
  <c r="G67" i="2" s="1"/>
  <c r="H67" i="2" s="1"/>
  <c r="I67" i="2" s="1"/>
  <c r="J67" i="2" s="1"/>
  <c r="K67" i="2" s="1"/>
  <c r="L67" i="2" s="1"/>
  <c r="M67" i="2" s="1"/>
  <c r="N67" i="2" s="1"/>
  <c r="O67" i="2" s="1"/>
  <c r="E66" i="2"/>
  <c r="F66" i="2" s="1"/>
  <c r="G66" i="2" s="1"/>
  <c r="H66" i="2" s="1"/>
  <c r="I66" i="2" s="1"/>
  <c r="J66" i="2" s="1"/>
  <c r="K66" i="2" s="1"/>
  <c r="L66" i="2" s="1"/>
  <c r="M66" i="2" s="1"/>
  <c r="E65" i="2"/>
  <c r="F65" i="2" s="1"/>
  <c r="G65" i="2" s="1"/>
  <c r="H65" i="2" s="1"/>
  <c r="I65" i="2" s="1"/>
  <c r="J65" i="2" s="1"/>
  <c r="K65" i="2" s="1"/>
  <c r="L65" i="2" s="1"/>
  <c r="M65" i="2" s="1"/>
  <c r="N65" i="2" s="1"/>
  <c r="O65" i="2" s="1"/>
  <c r="E64" i="2"/>
  <c r="F64" i="2" s="1"/>
  <c r="E63" i="2"/>
  <c r="F63" i="2" s="1"/>
  <c r="G63" i="2" s="1"/>
  <c r="H63" i="2" s="1"/>
  <c r="I63" i="2" s="1"/>
  <c r="J63" i="2" s="1"/>
  <c r="K63" i="2" s="1"/>
  <c r="L63" i="2" s="1"/>
  <c r="M63" i="2" s="1"/>
  <c r="N63" i="2" s="1"/>
  <c r="O63" i="2" s="1"/>
  <c r="E62" i="2"/>
  <c r="F62" i="2" s="1"/>
  <c r="G62" i="2" s="1"/>
  <c r="H62" i="2" s="1"/>
  <c r="I62" i="2" s="1"/>
  <c r="J62" i="2" s="1"/>
  <c r="K62" i="2" s="1"/>
  <c r="L62" i="2" s="1"/>
  <c r="M62" i="2" s="1"/>
  <c r="N62" i="2" s="1"/>
  <c r="O62" i="2" s="1"/>
  <c r="R58" i="2"/>
  <c r="S58" i="2" s="1"/>
  <c r="T58" i="2" s="1"/>
  <c r="U58" i="2" s="1"/>
  <c r="V58" i="2" s="1"/>
  <c r="W58" i="2" s="1"/>
  <c r="X58" i="2" s="1"/>
  <c r="Y58" i="2" s="1"/>
  <c r="Z58" i="2" s="1"/>
  <c r="AA58" i="2" s="1"/>
  <c r="Q58" i="2"/>
  <c r="R57" i="2"/>
  <c r="S57" i="2" s="1"/>
  <c r="T57" i="2" s="1"/>
  <c r="U57" i="2" s="1"/>
  <c r="V57" i="2" s="1"/>
  <c r="W57" i="2" s="1"/>
  <c r="X57" i="2" s="1"/>
  <c r="Y57" i="2" s="1"/>
  <c r="Z57" i="2" s="1"/>
  <c r="AA57" i="2" s="1"/>
  <c r="R56" i="2"/>
  <c r="S56" i="2" s="1"/>
  <c r="T56" i="2" s="1"/>
  <c r="U56" i="2" s="1"/>
  <c r="V56" i="2" s="1"/>
  <c r="W56" i="2" s="1"/>
  <c r="X56" i="2" s="1"/>
  <c r="Y56" i="2" s="1"/>
  <c r="Z56" i="2" s="1"/>
  <c r="AA56" i="2" s="1"/>
  <c r="R55" i="2"/>
  <c r="S55" i="2" s="1"/>
  <c r="T55" i="2" s="1"/>
  <c r="U55" i="2" s="1"/>
  <c r="V55" i="2" s="1"/>
  <c r="W55" i="2" s="1"/>
  <c r="X55" i="2" s="1"/>
  <c r="Y55" i="2" s="1"/>
  <c r="Z55" i="2" s="1"/>
  <c r="AA55" i="2" s="1"/>
  <c r="R54" i="2"/>
  <c r="S54" i="2" s="1"/>
  <c r="T54" i="2" s="1"/>
  <c r="U54" i="2" s="1"/>
  <c r="V54" i="2" s="1"/>
  <c r="W54" i="2" s="1"/>
  <c r="X54" i="2" s="1"/>
  <c r="Y54" i="2" s="1"/>
  <c r="Z54" i="2" s="1"/>
  <c r="AA54" i="2" s="1"/>
  <c r="R53" i="2"/>
  <c r="S53" i="2" s="1"/>
  <c r="T53" i="2" s="1"/>
  <c r="U53" i="2" s="1"/>
  <c r="V53" i="2" s="1"/>
  <c r="W53" i="2" s="1"/>
  <c r="X53" i="2" s="1"/>
  <c r="Y53" i="2" s="1"/>
  <c r="Z53" i="2" s="1"/>
  <c r="AA53" i="2" s="1"/>
  <c r="R52" i="2"/>
  <c r="S52" i="2" s="1"/>
  <c r="T52" i="2" s="1"/>
  <c r="U52" i="2" s="1"/>
  <c r="V52" i="2" s="1"/>
  <c r="W52" i="2" s="1"/>
  <c r="X52" i="2" s="1"/>
  <c r="Y52" i="2" s="1"/>
  <c r="Z52" i="2" s="1"/>
  <c r="AA52" i="2" s="1"/>
  <c r="R51" i="2"/>
  <c r="S51" i="2" s="1"/>
  <c r="T51" i="2" s="1"/>
  <c r="U51" i="2" s="1"/>
  <c r="V51" i="2" s="1"/>
  <c r="W51" i="2" s="1"/>
  <c r="X51" i="2" s="1"/>
  <c r="Y51" i="2" s="1"/>
  <c r="Z51" i="2" s="1"/>
  <c r="AA51" i="2" s="1"/>
  <c r="R50" i="2"/>
  <c r="S50" i="2" s="1"/>
  <c r="T50" i="2" s="1"/>
  <c r="U50" i="2" s="1"/>
  <c r="V50" i="2" s="1"/>
  <c r="W50" i="2" s="1"/>
  <c r="X50" i="2" s="1"/>
  <c r="Y50" i="2" s="1"/>
  <c r="Z50" i="2" s="1"/>
  <c r="AA50" i="2" s="1"/>
  <c r="R49" i="2"/>
  <c r="S49" i="2" s="1"/>
  <c r="T49" i="2" s="1"/>
  <c r="U49" i="2" s="1"/>
  <c r="V49" i="2" s="1"/>
  <c r="W49" i="2" s="1"/>
  <c r="Y49" i="2" s="1"/>
  <c r="Z49" i="2" s="1"/>
  <c r="AA49" i="2" s="1"/>
  <c r="R48" i="2"/>
  <c r="S48" i="2" s="1"/>
  <c r="T48" i="2" s="1"/>
  <c r="U48" i="2" s="1"/>
  <c r="V48" i="2" s="1"/>
  <c r="W48" i="2" s="1"/>
  <c r="X48" i="2" s="1"/>
  <c r="Y48" i="2" s="1"/>
  <c r="Z48" i="2" s="1"/>
  <c r="AA48" i="2" s="1"/>
  <c r="R47" i="2"/>
  <c r="S47" i="2" s="1"/>
  <c r="T47" i="2" s="1"/>
  <c r="U47" i="2" s="1"/>
  <c r="V47" i="2" s="1"/>
  <c r="W47" i="2" s="1"/>
  <c r="X47" i="2" s="1"/>
  <c r="Y47" i="2" s="1"/>
  <c r="Z47" i="2" s="1"/>
  <c r="AA47" i="2" s="1"/>
  <c r="R46" i="2"/>
  <c r="S46" i="2" s="1"/>
  <c r="T46" i="2" s="1"/>
  <c r="U46" i="2" s="1"/>
  <c r="V46" i="2" s="1"/>
  <c r="W46" i="2" s="1"/>
  <c r="X46" i="2" s="1"/>
  <c r="Y46" i="2" s="1"/>
  <c r="Z46" i="2" s="1"/>
  <c r="AA46" i="2" s="1"/>
  <c r="E47" i="2"/>
  <c r="F47" i="2" s="1"/>
  <c r="G47" i="2" s="1"/>
  <c r="H47" i="2" s="1"/>
  <c r="I47" i="2" s="1"/>
  <c r="J47" i="2" s="1"/>
  <c r="K47" i="2" s="1"/>
  <c r="L47" i="2" s="1"/>
  <c r="M47" i="2" s="1"/>
  <c r="N47" i="2" s="1"/>
  <c r="O47" i="2" s="1"/>
  <c r="E48" i="2"/>
  <c r="F48" i="2" s="1"/>
  <c r="G48" i="2" s="1"/>
  <c r="H48" i="2" s="1"/>
  <c r="I48" i="2" s="1"/>
  <c r="J48" i="2" s="1"/>
  <c r="K48" i="2" s="1"/>
  <c r="L48" i="2" s="1"/>
  <c r="M48" i="2" s="1"/>
  <c r="N48" i="2" s="1"/>
  <c r="F49" i="2"/>
  <c r="G49" i="2" s="1"/>
  <c r="H49" i="2" s="1"/>
  <c r="I49" i="2" s="1"/>
  <c r="J49" i="2" s="1"/>
  <c r="K49" i="2" s="1"/>
  <c r="M49" i="2" s="1"/>
  <c r="N49" i="2" s="1"/>
  <c r="E50" i="2"/>
  <c r="F50" i="2" s="1"/>
  <c r="G50" i="2" s="1"/>
  <c r="H50" i="2" s="1"/>
  <c r="I50" i="2" s="1"/>
  <c r="J50" i="2" s="1"/>
  <c r="K50" i="2" s="1"/>
  <c r="L50" i="2" s="1"/>
  <c r="M50" i="2" s="1"/>
  <c r="E51" i="2"/>
  <c r="F51" i="2" s="1"/>
  <c r="G51" i="2" s="1"/>
  <c r="H51" i="2" s="1"/>
  <c r="I51" i="2" s="1"/>
  <c r="J51" i="2" s="1"/>
  <c r="K51" i="2" s="1"/>
  <c r="L51" i="2" s="1"/>
  <c r="M51" i="2" s="1"/>
  <c r="N51" i="2" s="1"/>
  <c r="E52" i="2"/>
  <c r="F52" i="2" s="1"/>
  <c r="G52" i="2" s="1"/>
  <c r="H52" i="2" s="1"/>
  <c r="I52" i="2" s="1"/>
  <c r="J52" i="2" s="1"/>
  <c r="K52" i="2" s="1"/>
  <c r="L52" i="2" s="1"/>
  <c r="M52" i="2" s="1"/>
  <c r="N52" i="2" s="1"/>
  <c r="O52" i="2" s="1"/>
  <c r="E53" i="2"/>
  <c r="F53" i="2" s="1"/>
  <c r="G53" i="2" s="1"/>
  <c r="H53" i="2" s="1"/>
  <c r="I53" i="2" s="1"/>
  <c r="J53" i="2" s="1"/>
  <c r="K53" i="2" s="1"/>
  <c r="L53" i="2" s="1"/>
  <c r="M53" i="2" s="1"/>
  <c r="N53" i="2" s="1"/>
  <c r="O53" i="2" s="1"/>
  <c r="E54" i="2"/>
  <c r="F54" i="2" s="1"/>
  <c r="G54" i="2" s="1"/>
  <c r="H54" i="2" s="1"/>
  <c r="I54" i="2" s="1"/>
  <c r="J54" i="2" s="1"/>
  <c r="K54" i="2" s="1"/>
  <c r="L54" i="2" s="1"/>
  <c r="M54" i="2" s="1"/>
  <c r="N54" i="2" s="1"/>
  <c r="O54" i="2" s="1"/>
  <c r="E55" i="2"/>
  <c r="F55" i="2" s="1"/>
  <c r="G55" i="2" s="1"/>
  <c r="H55" i="2" s="1"/>
  <c r="I55" i="2" s="1"/>
  <c r="J55" i="2" s="1"/>
  <c r="K55" i="2" s="1"/>
  <c r="L55" i="2" s="1"/>
  <c r="M55" i="2" s="1"/>
  <c r="N55" i="2" s="1"/>
  <c r="O55" i="2" s="1"/>
  <c r="E56" i="2"/>
  <c r="F56" i="2" s="1"/>
  <c r="G56" i="2" s="1"/>
  <c r="H56" i="2" s="1"/>
  <c r="I56" i="2" s="1"/>
  <c r="J56" i="2" s="1"/>
  <c r="K56" i="2" s="1"/>
  <c r="L56" i="2" s="1"/>
  <c r="M56" i="2" s="1"/>
  <c r="N56" i="2" s="1"/>
  <c r="O56" i="2" s="1"/>
  <c r="E57" i="2"/>
  <c r="F57" i="2" s="1"/>
  <c r="G57" i="2" s="1"/>
  <c r="H57" i="2" s="1"/>
  <c r="I57" i="2" s="1"/>
  <c r="J57" i="2" s="1"/>
  <c r="K57" i="2" s="1"/>
  <c r="L57" i="2" s="1"/>
  <c r="M57" i="2" s="1"/>
  <c r="N57" i="2" s="1"/>
  <c r="O57" i="2" s="1"/>
  <c r="E58" i="2"/>
  <c r="F58" i="2" s="1"/>
  <c r="G58" i="2" s="1"/>
  <c r="H58" i="2" s="1"/>
  <c r="I58" i="2" s="1"/>
  <c r="J58" i="2" s="1"/>
  <c r="K58" i="2" s="1"/>
  <c r="L58" i="2" s="1"/>
  <c r="M58" i="2" s="1"/>
  <c r="N58" i="2" s="1"/>
  <c r="O58" i="2" s="1"/>
  <c r="E46" i="2"/>
  <c r="F46" i="2" s="1"/>
  <c r="G46" i="2" s="1"/>
  <c r="H46" i="2" s="1"/>
  <c r="I46" i="2" s="1"/>
  <c r="J46" i="2" s="1"/>
  <c r="K46" i="2" s="1"/>
  <c r="L46" i="2" s="1"/>
  <c r="M46" i="2" s="1"/>
  <c r="N46" i="2" s="1"/>
  <c r="O46" i="2" s="1"/>
  <c r="AB42" i="2"/>
  <c r="AC42" i="2" s="1"/>
  <c r="AD42" i="2" s="1"/>
  <c r="AE42" i="2" s="1"/>
  <c r="AF42" i="2" s="1"/>
  <c r="AG42" i="2" s="1"/>
  <c r="AH42" i="2" s="1"/>
  <c r="AI42" i="2" s="1"/>
  <c r="AJ42" i="2" s="1"/>
  <c r="AK42" i="2" s="1"/>
  <c r="AL42" i="2" s="1"/>
  <c r="AB41" i="2"/>
  <c r="AC41" i="2" s="1"/>
  <c r="AD41" i="2" s="1"/>
  <c r="AE41" i="2" s="1"/>
  <c r="AF41" i="2" s="1"/>
  <c r="AG41" i="2" s="1"/>
  <c r="AH41" i="2" s="1"/>
  <c r="AI41" i="2" s="1"/>
  <c r="AJ41" i="2" s="1"/>
  <c r="AK41" i="2" s="1"/>
  <c r="AL41" i="2" s="1"/>
  <c r="P42" i="2"/>
  <c r="Q42" i="2" s="1"/>
  <c r="R42" i="2" s="1"/>
  <c r="S42" i="2" s="1"/>
  <c r="T42" i="2" s="1"/>
  <c r="U42" i="2" s="1"/>
  <c r="V42" i="2" s="1"/>
  <c r="W42" i="2" s="1"/>
  <c r="X42" i="2" s="1"/>
  <c r="Y42" i="2" s="1"/>
  <c r="Z42" i="2" s="1"/>
  <c r="P41" i="2"/>
  <c r="Q41" i="2" s="1"/>
  <c r="R41" i="2" s="1"/>
  <c r="S41" i="2" s="1"/>
  <c r="T41" i="2" s="1"/>
  <c r="U41" i="2" s="1"/>
  <c r="V41" i="2" s="1"/>
  <c r="W41" i="2" s="1"/>
  <c r="X41" i="2" s="1"/>
  <c r="Y41" i="2" s="1"/>
  <c r="Z41" i="2" s="1"/>
  <c r="Q40" i="2"/>
  <c r="R40" i="2" s="1"/>
  <c r="S40" i="2" s="1"/>
  <c r="T40" i="2" s="1"/>
  <c r="U40" i="2" s="1"/>
  <c r="V40" i="2" s="1"/>
  <c r="W40" i="2" s="1"/>
  <c r="X40" i="2" s="1"/>
  <c r="Y40" i="2" s="1"/>
  <c r="Z40" i="2" s="1"/>
  <c r="AA40" i="2" s="1"/>
  <c r="AB40" i="2" s="1"/>
  <c r="AC40" i="2" s="1"/>
  <c r="AD40" i="2" s="1"/>
  <c r="AE40" i="2" s="1"/>
  <c r="AF40" i="2" s="1"/>
  <c r="AG40" i="2" s="1"/>
  <c r="AH40" i="2" s="1"/>
  <c r="AI40" i="2" s="1"/>
  <c r="AJ40" i="2" s="1"/>
  <c r="AK40" i="2" s="1"/>
  <c r="AL40" i="2" s="1"/>
  <c r="Q39" i="2"/>
  <c r="R39" i="2" s="1"/>
  <c r="S39" i="2" s="1"/>
  <c r="T39" i="2" s="1"/>
  <c r="U39" i="2" s="1"/>
  <c r="V39" i="2" s="1"/>
  <c r="W39" i="2" s="1"/>
  <c r="X39" i="2" s="1"/>
  <c r="Y39" i="2" s="1"/>
  <c r="Z39" i="2" s="1"/>
  <c r="AA39" i="2" s="1"/>
  <c r="AB39" i="2" s="1"/>
  <c r="AC39" i="2" s="1"/>
  <c r="AD39" i="2" s="1"/>
  <c r="AE39" i="2" s="1"/>
  <c r="AF39" i="2" s="1"/>
  <c r="AG39" i="2" s="1"/>
  <c r="AH39" i="2" s="1"/>
  <c r="AI39" i="2" s="1"/>
  <c r="AJ39" i="2" s="1"/>
  <c r="AK39" i="2" s="1"/>
  <c r="AL39" i="2" s="1"/>
  <c r="Q38" i="2"/>
  <c r="R38" i="2" s="1"/>
  <c r="S38" i="2" s="1"/>
  <c r="T38" i="2" s="1"/>
  <c r="U38" i="2" s="1"/>
  <c r="V38" i="2" s="1"/>
  <c r="W38" i="2" s="1"/>
  <c r="X38" i="2" s="1"/>
  <c r="Y38" i="2" s="1"/>
  <c r="Z38" i="2" s="1"/>
  <c r="AA38" i="2" s="1"/>
  <c r="AB38" i="2" s="1"/>
  <c r="AC38" i="2" s="1"/>
  <c r="AD38" i="2" s="1"/>
  <c r="AE38" i="2" s="1"/>
  <c r="AF38" i="2" s="1"/>
  <c r="AG38" i="2" s="1"/>
  <c r="AH38" i="2" s="1"/>
  <c r="AI38" i="2" s="1"/>
  <c r="AJ38" i="2" s="1"/>
  <c r="AK38" i="2" s="1"/>
  <c r="AL38" i="2" s="1"/>
  <c r="Q37" i="2"/>
  <c r="R37" i="2" s="1"/>
  <c r="S37" i="2" s="1"/>
  <c r="T37" i="2" s="1"/>
  <c r="U37" i="2" s="1"/>
  <c r="V37" i="2" s="1"/>
  <c r="W37" i="2" s="1"/>
  <c r="X37" i="2" s="1"/>
  <c r="Y37" i="2" s="1"/>
  <c r="Z37" i="2" s="1"/>
  <c r="AA37" i="2" s="1"/>
  <c r="AB37" i="2" s="1"/>
  <c r="AC37" i="2" s="1"/>
  <c r="AD37" i="2" s="1"/>
  <c r="AE37" i="2" s="1"/>
  <c r="AF37" i="2" s="1"/>
  <c r="AG37" i="2" s="1"/>
  <c r="AH37" i="2" s="1"/>
  <c r="AI37" i="2" s="1"/>
  <c r="AJ37" i="2" s="1"/>
  <c r="AK37" i="2" s="1"/>
  <c r="AL37" i="2" s="1"/>
  <c r="Q36" i="2"/>
  <c r="R36" i="2" s="1"/>
  <c r="S36" i="2" s="1"/>
  <c r="T36" i="2" s="1"/>
  <c r="U36" i="2" s="1"/>
  <c r="V36" i="2" s="1"/>
  <c r="W36" i="2" s="1"/>
  <c r="X36" i="2" s="1"/>
  <c r="Y36" i="2" s="1"/>
  <c r="Z36" i="2" s="1"/>
  <c r="AA36" i="2" s="1"/>
  <c r="AB36" i="2" s="1"/>
  <c r="AC36" i="2" s="1"/>
  <c r="AD36" i="2" s="1"/>
  <c r="AE36" i="2" s="1"/>
  <c r="AF36" i="2" s="1"/>
  <c r="AG36" i="2" s="1"/>
  <c r="AH36" i="2" s="1"/>
  <c r="AI36" i="2" s="1"/>
  <c r="AJ36" i="2" s="1"/>
  <c r="AK36" i="2" s="1"/>
  <c r="AL36" i="2" s="1"/>
  <c r="Q35" i="2"/>
  <c r="R35" i="2" s="1"/>
  <c r="S35" i="2" s="1"/>
  <c r="T35" i="2" s="1"/>
  <c r="U35" i="2" s="1"/>
  <c r="V35" i="2" s="1"/>
  <c r="W35" i="2" s="1"/>
  <c r="X35" i="2" s="1"/>
  <c r="Y35" i="2" s="1"/>
  <c r="Z35" i="2" s="1"/>
  <c r="AA35" i="2" s="1"/>
  <c r="AB35" i="2" s="1"/>
  <c r="AC35" i="2" s="1"/>
  <c r="AD35" i="2" s="1"/>
  <c r="AE35" i="2" s="1"/>
  <c r="AF35" i="2" s="1"/>
  <c r="AG35" i="2" s="1"/>
  <c r="AH35" i="2" s="1"/>
  <c r="AI35" i="2" s="1"/>
  <c r="AJ35" i="2" s="1"/>
  <c r="AK35" i="2" s="1"/>
  <c r="AL35" i="2" s="1"/>
  <c r="Q34" i="2"/>
  <c r="R34" i="2" s="1"/>
  <c r="S34" i="2" s="1"/>
  <c r="T34" i="2" s="1"/>
  <c r="U34" i="2" s="1"/>
  <c r="V34" i="2" s="1"/>
  <c r="W34" i="2" s="1"/>
  <c r="X34" i="2" s="1"/>
  <c r="Y34" i="2" s="1"/>
  <c r="Z34" i="2" s="1"/>
  <c r="AA34" i="2" s="1"/>
  <c r="AB34" i="2" s="1"/>
  <c r="AC34" i="2" s="1"/>
  <c r="AD34" i="2" s="1"/>
  <c r="AE34" i="2" s="1"/>
  <c r="AF34" i="2" s="1"/>
  <c r="AG34" i="2" s="1"/>
  <c r="AH34" i="2" s="1"/>
  <c r="AI34" i="2" s="1"/>
  <c r="AJ34" i="2" s="1"/>
  <c r="AK34" i="2" s="1"/>
  <c r="AL34" i="2" s="1"/>
  <c r="Q33" i="2"/>
  <c r="R33" i="2" s="1"/>
  <c r="S33" i="2" s="1"/>
  <c r="T33" i="2" s="1"/>
  <c r="U33" i="2" s="1"/>
  <c r="V33" i="2" s="1"/>
  <c r="W33" i="2" s="1"/>
  <c r="X33" i="2" s="1"/>
  <c r="Y33" i="2" s="1"/>
  <c r="Z33" i="2" s="1"/>
  <c r="AA33" i="2" s="1"/>
  <c r="AB33" i="2" s="1"/>
  <c r="AC33" i="2" s="1"/>
  <c r="AD33" i="2" s="1"/>
  <c r="AE33" i="2" s="1"/>
  <c r="AF33" i="2" s="1"/>
  <c r="AG33" i="2" s="1"/>
  <c r="AH33" i="2" s="1"/>
  <c r="AI33" i="2" s="1"/>
  <c r="AJ33" i="2" s="1"/>
  <c r="AK33" i="2" s="1"/>
  <c r="AL33" i="2" s="1"/>
  <c r="Q32" i="2"/>
  <c r="R32" i="2" s="1"/>
  <c r="S32" i="2" s="1"/>
  <c r="T32" i="2" s="1"/>
  <c r="U32" i="2" s="1"/>
  <c r="V32" i="2" s="1"/>
  <c r="W32" i="2" s="1"/>
  <c r="X32" i="2" s="1"/>
  <c r="Y32" i="2" s="1"/>
  <c r="Z32" i="2" s="1"/>
  <c r="AA32" i="2" s="1"/>
  <c r="AB32" i="2" s="1"/>
  <c r="AC32" i="2" s="1"/>
  <c r="AD32" i="2" s="1"/>
  <c r="AE32" i="2" s="1"/>
  <c r="AF32" i="2" s="1"/>
  <c r="AG32" i="2" s="1"/>
  <c r="AH32" i="2" s="1"/>
  <c r="AI32" i="2" s="1"/>
  <c r="AJ32" i="2" s="1"/>
  <c r="AK32" i="2" s="1"/>
  <c r="AL32" i="2" s="1"/>
  <c r="Q31" i="2"/>
  <c r="R31" i="2" s="1"/>
  <c r="S31" i="2" s="1"/>
  <c r="T31" i="2" s="1"/>
  <c r="U31" i="2" s="1"/>
  <c r="V31" i="2" s="1"/>
  <c r="W31" i="2" s="1"/>
  <c r="X31" i="2" s="1"/>
  <c r="Y31" i="2" s="1"/>
  <c r="Z31" i="2" s="1"/>
  <c r="AA31" i="2" s="1"/>
  <c r="AB31" i="2" s="1"/>
  <c r="AC31" i="2" s="1"/>
  <c r="AD31" i="2" s="1"/>
  <c r="AE31" i="2" s="1"/>
  <c r="AF31" i="2" s="1"/>
  <c r="AG31" i="2" s="1"/>
  <c r="AH31" i="2" s="1"/>
  <c r="AI31" i="2" s="1"/>
  <c r="AJ31" i="2" s="1"/>
  <c r="AK31" i="2" s="1"/>
  <c r="AL31" i="2" s="1"/>
  <c r="Q30" i="2"/>
  <c r="R30" i="2" s="1"/>
  <c r="S30" i="2" s="1"/>
  <c r="T30" i="2" s="1"/>
  <c r="U30" i="2" s="1"/>
  <c r="V30" i="2" s="1"/>
  <c r="W30" i="2" s="1"/>
  <c r="X30" i="2" s="1"/>
  <c r="Y30" i="2" s="1"/>
  <c r="Z30" i="2" s="1"/>
  <c r="AA30" i="2" s="1"/>
  <c r="AB30" i="2" s="1"/>
  <c r="AC30" i="2" s="1"/>
  <c r="AD30" i="2" s="1"/>
  <c r="AE30" i="2" s="1"/>
  <c r="AF30" i="2" s="1"/>
  <c r="AG30" i="2" s="1"/>
  <c r="AH30" i="2" s="1"/>
  <c r="AI30" i="2" s="1"/>
  <c r="AJ30" i="2" s="1"/>
  <c r="AK30" i="2" s="1"/>
  <c r="AL30" i="2" s="1"/>
  <c r="Q29" i="2"/>
  <c r="R29" i="2" s="1"/>
  <c r="S29" i="2" s="1"/>
  <c r="T29" i="2" s="1"/>
  <c r="U29" i="2" s="1"/>
  <c r="V29" i="2" s="1"/>
  <c r="W29" i="2" s="1"/>
  <c r="X29" i="2" s="1"/>
  <c r="Y29" i="2" s="1"/>
  <c r="Z29" i="2" s="1"/>
  <c r="AA29" i="2" s="1"/>
  <c r="AB29" i="2" s="1"/>
  <c r="AC29" i="2" s="1"/>
  <c r="AD29" i="2" s="1"/>
  <c r="AE29" i="2" s="1"/>
  <c r="AF29" i="2" s="1"/>
  <c r="AG29" i="2" s="1"/>
  <c r="AH29" i="2" s="1"/>
  <c r="AI29" i="2" s="1"/>
  <c r="AJ29" i="2" s="1"/>
  <c r="AK29" i="2" s="1"/>
  <c r="AL29" i="2" s="1"/>
  <c r="Q28" i="2"/>
  <c r="R28" i="2" s="1"/>
  <c r="S28" i="2" s="1"/>
  <c r="T28" i="2" s="1"/>
  <c r="U28" i="2" s="1"/>
  <c r="V28" i="2" s="1"/>
  <c r="W28" i="2" s="1"/>
  <c r="X28" i="2" s="1"/>
  <c r="Y28" i="2" s="1"/>
  <c r="Z28" i="2" s="1"/>
  <c r="AA28" i="2" s="1"/>
  <c r="AB28" i="2" s="1"/>
  <c r="AC28" i="2" s="1"/>
  <c r="AD28" i="2" s="1"/>
  <c r="AE28" i="2" s="1"/>
  <c r="AF28" i="2" s="1"/>
  <c r="AG28" i="2" s="1"/>
  <c r="AH28" i="2" s="1"/>
  <c r="AI28" i="2" s="1"/>
  <c r="AJ28" i="2" s="1"/>
  <c r="AK28" i="2" s="1"/>
  <c r="AL28" i="2" s="1"/>
  <c r="D29" i="2"/>
  <c r="E29" i="2" s="1"/>
  <c r="F29" i="2" s="1"/>
  <c r="G29" i="2" s="1"/>
  <c r="H29" i="2" s="1"/>
  <c r="J29" i="2" s="1"/>
  <c r="K29" i="2" s="1"/>
  <c r="L29" i="2" s="1"/>
  <c r="N29" i="2" s="1"/>
  <c r="D30" i="2"/>
  <c r="E30" i="2" s="1"/>
  <c r="F30" i="2" s="1"/>
  <c r="G30" i="2" s="1"/>
  <c r="H30" i="2" s="1"/>
  <c r="J30" i="2" s="1"/>
  <c r="K30" i="2" s="1"/>
  <c r="L30" i="2" s="1"/>
  <c r="N30" i="2" s="1"/>
  <c r="D31" i="2"/>
  <c r="E31" i="2" s="1"/>
  <c r="F31" i="2" s="1"/>
  <c r="G31" i="2" s="1"/>
  <c r="H31" i="2" s="1"/>
  <c r="J31" i="2" s="1"/>
  <c r="K31" i="2" s="1"/>
  <c r="L31" i="2" s="1"/>
  <c r="N31" i="2" s="1"/>
  <c r="D32" i="2"/>
  <c r="E32" i="2" s="1"/>
  <c r="F32" i="2" s="1"/>
  <c r="G32" i="2" s="1"/>
  <c r="H32" i="2" s="1"/>
  <c r="J32" i="2" s="1"/>
  <c r="K32" i="2" s="1"/>
  <c r="L32" i="2" s="1"/>
  <c r="N32" i="2" s="1"/>
  <c r="D33" i="2"/>
  <c r="E33" i="2" s="1"/>
  <c r="F33" i="2" s="1"/>
  <c r="G33" i="2" s="1"/>
  <c r="H33" i="2" s="1"/>
  <c r="J33" i="2" s="1"/>
  <c r="K33" i="2" s="1"/>
  <c r="L33" i="2" s="1"/>
  <c r="N33" i="2" s="1"/>
  <c r="D34" i="2"/>
  <c r="E34" i="2" s="1"/>
  <c r="F34" i="2" s="1"/>
  <c r="G34" i="2" s="1"/>
  <c r="H34" i="2" s="1"/>
  <c r="J34" i="2" s="1"/>
  <c r="K34" i="2" s="1"/>
  <c r="L34" i="2" s="1"/>
  <c r="N34" i="2" s="1"/>
  <c r="D35" i="2"/>
  <c r="E35" i="2"/>
  <c r="F35" i="2" s="1"/>
  <c r="G35" i="2" s="1"/>
  <c r="H35" i="2" s="1"/>
  <c r="J35" i="2" s="1"/>
  <c r="K35" i="2" s="1"/>
  <c r="L35" i="2" s="1"/>
  <c r="N35" i="2" s="1"/>
  <c r="D36" i="2"/>
  <c r="E36" i="2"/>
  <c r="F36" i="2" s="1"/>
  <c r="G36" i="2" s="1"/>
  <c r="H36" i="2" s="1"/>
  <c r="J36" i="2" s="1"/>
  <c r="K36" i="2" s="1"/>
  <c r="L36" i="2" s="1"/>
  <c r="N36" i="2" s="1"/>
  <c r="D37" i="2"/>
  <c r="E37" i="2" s="1"/>
  <c r="F37" i="2" s="1"/>
  <c r="G37" i="2" s="1"/>
  <c r="H37" i="2" s="1"/>
  <c r="J37" i="2" s="1"/>
  <c r="K37" i="2" s="1"/>
  <c r="L37" i="2" s="1"/>
  <c r="N37" i="2" s="1"/>
  <c r="D38" i="2"/>
  <c r="E38" i="2" s="1"/>
  <c r="F38" i="2" s="1"/>
  <c r="G38" i="2" s="1"/>
  <c r="H38" i="2" s="1"/>
  <c r="J38" i="2" s="1"/>
  <c r="K38" i="2" s="1"/>
  <c r="L38" i="2" s="1"/>
  <c r="N38" i="2" s="1"/>
  <c r="D39" i="2"/>
  <c r="E39" i="2"/>
  <c r="F39" i="2" s="1"/>
  <c r="G39" i="2" s="1"/>
  <c r="H39" i="2" s="1"/>
  <c r="J39" i="2" s="1"/>
  <c r="K39" i="2" s="1"/>
  <c r="L39" i="2" s="1"/>
  <c r="N39" i="2" s="1"/>
  <c r="D40" i="2"/>
  <c r="E40" i="2" s="1"/>
  <c r="F40" i="2" s="1"/>
  <c r="G40" i="2" s="1"/>
  <c r="H40" i="2" s="1"/>
  <c r="J40" i="2" s="1"/>
  <c r="K40" i="2" s="1"/>
  <c r="L40" i="2" s="1"/>
  <c r="N40" i="2" s="1"/>
  <c r="D41" i="2"/>
  <c r="E41" i="2" s="1"/>
  <c r="F41" i="2" s="1"/>
  <c r="G41" i="2" s="1"/>
  <c r="H41" i="2" s="1"/>
  <c r="J41" i="2" s="1"/>
  <c r="K41" i="2" s="1"/>
  <c r="L41" i="2" s="1"/>
  <c r="N41" i="2" s="1"/>
  <c r="D42" i="2"/>
  <c r="E42" i="2" s="1"/>
  <c r="F42" i="2" s="1"/>
  <c r="G42" i="2" s="1"/>
  <c r="H42" i="2" s="1"/>
  <c r="J42" i="2" s="1"/>
  <c r="K42" i="2" s="1"/>
  <c r="L42" i="2" s="1"/>
  <c r="N42" i="2" s="1"/>
  <c r="D28" i="2"/>
  <c r="E28" i="2" s="1"/>
  <c r="F28" i="2" s="1"/>
  <c r="G28" i="2" s="1"/>
  <c r="H28" i="2" s="1"/>
  <c r="J28" i="2" s="1"/>
  <c r="K28" i="2" s="1"/>
  <c r="L28" i="2" s="1"/>
  <c r="N28" i="2" s="1"/>
  <c r="C10" i="2"/>
  <c r="C11" i="2"/>
  <c r="C9" i="2"/>
  <c r="H13" i="6" l="1"/>
  <c r="I13" i="6" s="1"/>
  <c r="A78" i="17"/>
  <c r="A78" i="3"/>
  <c r="G25" i="17"/>
  <c r="C25" i="18"/>
  <c r="A73" i="3"/>
  <c r="A83" i="3"/>
  <c r="S25" i="15"/>
  <c r="K25" i="17"/>
  <c r="G25" i="18"/>
  <c r="C25" i="19"/>
  <c r="A83" i="17"/>
  <c r="W25" i="15"/>
  <c r="S25" i="17"/>
  <c r="K25" i="18"/>
  <c r="G25" i="19"/>
  <c r="AE25" i="15"/>
  <c r="W25" i="17"/>
  <c r="W25" i="18"/>
  <c r="AA25" i="17"/>
  <c r="AA25" i="18"/>
  <c r="A73" i="18"/>
  <c r="AE25" i="17"/>
  <c r="AE25" i="18"/>
  <c r="S25" i="19"/>
  <c r="AM25" i="17"/>
  <c r="AM25" i="18"/>
  <c r="W25" i="19"/>
  <c r="O49" i="2"/>
  <c r="G64" i="2"/>
  <c r="AI25" i="19"/>
  <c r="AI25" i="18"/>
  <c r="O25" i="18"/>
  <c r="S25" i="18"/>
  <c r="AI25" i="17"/>
  <c r="O25" i="17"/>
  <c r="A77" i="17"/>
  <c r="AQ25" i="15"/>
  <c r="C25" i="15"/>
  <c r="AU25" i="15"/>
  <c r="AA25" i="15"/>
  <c r="G25" i="15"/>
  <c r="K25" i="15"/>
  <c r="AI25" i="15"/>
  <c r="K25" i="3"/>
  <c r="G25" i="3"/>
  <c r="AA25" i="3"/>
  <c r="AU25" i="3"/>
  <c r="C25" i="3"/>
  <c r="W25" i="3"/>
  <c r="H64" i="2" l="1"/>
  <c r="I64" i="2" l="1"/>
  <c r="J64" i="2" l="1"/>
  <c r="K64" i="2" l="1"/>
  <c r="L64" i="2" l="1"/>
  <c r="M64" i="2" l="1"/>
  <c r="N64" i="2" l="1"/>
  <c r="O64" i="2" l="1"/>
  <c r="A74" i="2" l="1"/>
  <c r="A73" i="2"/>
  <c r="A72" i="2"/>
  <c r="A71" i="2"/>
  <c r="A70" i="2"/>
  <c r="A69" i="2"/>
  <c r="A68" i="2"/>
  <c r="A67" i="2"/>
  <c r="AU78" i="17" l="1"/>
  <c r="AI78" i="17"/>
  <c r="G73" i="17"/>
  <c r="AE73" i="17"/>
  <c r="AU78" i="18"/>
  <c r="AA78" i="17"/>
  <c r="W78" i="3"/>
  <c r="C73" i="17"/>
  <c r="S78" i="18"/>
  <c r="AM78" i="3"/>
  <c r="O78" i="17"/>
  <c r="K78" i="18"/>
  <c r="G78" i="3"/>
  <c r="W78" i="17"/>
  <c r="AI73" i="3"/>
  <c r="AI78" i="18"/>
  <c r="AM73" i="18"/>
  <c r="G78" i="17"/>
  <c r="O78" i="18"/>
  <c r="C78" i="3"/>
  <c r="AQ73" i="17"/>
  <c r="K78" i="17"/>
  <c r="AQ78" i="18"/>
  <c r="AA78" i="18"/>
  <c r="O73" i="3"/>
  <c r="S78" i="17"/>
  <c r="C84" i="18"/>
  <c r="C81" i="18"/>
  <c r="C83" i="18"/>
  <c r="W78" i="18"/>
  <c r="O73" i="17"/>
  <c r="AQ78" i="3"/>
  <c r="C78" i="17"/>
  <c r="AE78" i="17"/>
  <c r="AU73" i="17"/>
  <c r="S73" i="17"/>
  <c r="W73" i="17"/>
  <c r="K73" i="17"/>
  <c r="AM78" i="17"/>
  <c r="AA78" i="3"/>
  <c r="AE78" i="18"/>
  <c r="AA73" i="17"/>
  <c r="AI73" i="17"/>
  <c r="AM78" i="18"/>
  <c r="C78" i="18"/>
  <c r="AQ78" i="17"/>
  <c r="G78" i="18"/>
  <c r="AM73" i="17"/>
  <c r="AE73" i="3"/>
  <c r="AQ73" i="18"/>
  <c r="AU73" i="3"/>
  <c r="C73" i="18"/>
  <c r="AU73" i="18"/>
  <c r="G73" i="18"/>
  <c r="AQ73" i="3"/>
  <c r="AI73" i="18"/>
  <c r="AI78" i="3"/>
  <c r="S73" i="3"/>
  <c r="O78" i="3"/>
  <c r="K78" i="3"/>
  <c r="K73" i="18"/>
  <c r="K73" i="3"/>
  <c r="AE78" i="3"/>
  <c r="W73" i="3"/>
  <c r="S78" i="3"/>
  <c r="W73" i="18"/>
  <c r="AA73" i="3"/>
  <c r="AU78" i="3"/>
  <c r="G73" i="3"/>
  <c r="C73" i="3"/>
  <c r="AE73" i="18"/>
  <c r="AA73" i="18"/>
  <c r="S73" i="18"/>
  <c r="O73" i="18"/>
  <c r="AM73" i="3"/>
  <c r="B11" i="20"/>
  <c r="B59" i="20" s="1"/>
  <c r="D10" i="2" l="1"/>
  <c r="D11" i="2"/>
  <c r="D9" i="2"/>
  <c r="D21" i="2"/>
  <c r="E21" i="2" s="1"/>
  <c r="F21" i="2" s="1"/>
  <c r="G21" i="2" s="1"/>
  <c r="H21" i="2" s="1"/>
  <c r="J21" i="2" s="1"/>
  <c r="K21" i="2" s="1"/>
  <c r="L21" i="2" s="1"/>
  <c r="N21" i="2" s="1"/>
  <c r="D24" i="2"/>
  <c r="E24" i="2" s="1"/>
  <c r="F24" i="2" s="1"/>
  <c r="G24" i="2" s="1"/>
  <c r="H24" i="2" s="1"/>
  <c r="I24" i="2" s="1"/>
  <c r="J24" i="2" s="1"/>
  <c r="K24" i="2" s="1"/>
  <c r="L24" i="2" s="1"/>
  <c r="M24" i="2" s="1"/>
  <c r="N24" i="2" s="1"/>
  <c r="P24" i="2"/>
  <c r="Q24" i="2" s="1"/>
  <c r="R24" i="2" s="1"/>
  <c r="S24" i="2" s="1"/>
  <c r="T24" i="2" s="1"/>
  <c r="U24" i="2" s="1"/>
  <c r="V24" i="2" s="1"/>
  <c r="W24" i="2" s="1"/>
  <c r="X24" i="2" s="1"/>
  <c r="Y24" i="2" s="1"/>
  <c r="Z24" i="2" s="1"/>
  <c r="AB24" i="2"/>
  <c r="AC24" i="2" s="1"/>
  <c r="AD24" i="2" s="1"/>
  <c r="AE24" i="2" s="1"/>
  <c r="AF24" i="2" s="1"/>
  <c r="AG24" i="2" s="1"/>
  <c r="AH24" i="2" s="1"/>
  <c r="AI24" i="2" s="1"/>
  <c r="AJ24" i="2" s="1"/>
  <c r="AK24" i="2" s="1"/>
  <c r="AL24" i="2" s="1"/>
  <c r="Q21" i="2"/>
  <c r="R21" i="2" s="1"/>
  <c r="S21" i="2" s="1"/>
  <c r="T21" i="2" s="1"/>
  <c r="U21" i="2" s="1"/>
  <c r="V21" i="2" s="1"/>
  <c r="W21" i="2" s="1"/>
  <c r="X21" i="2" s="1"/>
  <c r="Y21" i="2" s="1"/>
  <c r="Z21" i="2" s="1"/>
  <c r="AA21" i="2" s="1"/>
  <c r="AB21" i="2" s="1"/>
  <c r="AC21" i="2" s="1"/>
  <c r="AD21" i="2" s="1"/>
  <c r="AE21" i="2" s="1"/>
  <c r="AF21" i="2" s="1"/>
  <c r="AG21" i="2" s="1"/>
  <c r="AH21" i="2" s="1"/>
  <c r="AI21" i="2" s="1"/>
  <c r="AJ21" i="2" s="1"/>
  <c r="AK21" i="2" s="1"/>
  <c r="AL21" i="2" s="1"/>
  <c r="Q23" i="2"/>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Q22" i="2"/>
  <c r="R22" i="2" s="1"/>
  <c r="S22" i="2" s="1"/>
  <c r="T22" i="2" s="1"/>
  <c r="U22" i="2" s="1"/>
  <c r="V22" i="2" s="1"/>
  <c r="W22" i="2" s="1"/>
  <c r="X22" i="2" s="1"/>
  <c r="Y22" i="2" s="1"/>
  <c r="Z22" i="2" s="1"/>
  <c r="AA22" i="2" s="1"/>
  <c r="AB22" i="2" s="1"/>
  <c r="AC22" i="2" s="1"/>
  <c r="AD22" i="2" s="1"/>
  <c r="AE22" i="2" s="1"/>
  <c r="AF22" i="2" s="1"/>
  <c r="AG22" i="2" s="1"/>
  <c r="AH22" i="2" s="1"/>
  <c r="AI22" i="2" s="1"/>
  <c r="AJ22" i="2" s="1"/>
  <c r="AK22" i="2" s="1"/>
  <c r="AL22" i="2" s="1"/>
  <c r="D23" i="2"/>
  <c r="E23" i="2" s="1"/>
  <c r="F23" i="2" s="1"/>
  <c r="G23" i="2" s="1"/>
  <c r="H23" i="2" s="1"/>
  <c r="J23" i="2" s="1"/>
  <c r="K23" i="2" s="1"/>
  <c r="L23" i="2" s="1"/>
  <c r="N23" i="2" s="1"/>
  <c r="D22" i="2"/>
  <c r="E22" i="2" s="1"/>
  <c r="F22" i="2" s="1"/>
  <c r="G22" i="2" s="1"/>
  <c r="H22" i="2" s="1"/>
  <c r="J22" i="2" s="1"/>
  <c r="K22" i="2" s="1"/>
  <c r="L22" i="2" s="1"/>
  <c r="N22" i="2" s="1"/>
  <c r="C108" i="2" l="1"/>
  <c r="B53" i="20" l="1"/>
  <c r="B55" i="16" l="1"/>
  <c r="B55" i="15"/>
  <c r="B7" i="15"/>
  <c r="B7" i="16"/>
  <c r="B55" i="3"/>
  <c r="B55" i="20"/>
  <c r="B59" i="16"/>
  <c r="B58" i="16" s="1"/>
  <c r="B59" i="15"/>
  <c r="B58" i="15" s="1"/>
  <c r="B59" i="3"/>
  <c r="B58" i="3" s="1"/>
  <c r="B58" i="20"/>
  <c r="J4" i="23"/>
  <c r="N20" i="23" l="1"/>
  <c r="O20" i="23" s="1"/>
  <c r="P20" i="23" s="1"/>
  <c r="Q20" i="23" s="1"/>
  <c r="J20" i="23"/>
  <c r="K20" i="23" s="1"/>
  <c r="L20" i="23" s="1"/>
  <c r="M20" i="23" s="1"/>
  <c r="A85" i="19"/>
  <c r="A37" i="21"/>
  <c r="A37" i="16"/>
  <c r="A85" i="16" s="1"/>
  <c r="A37" i="15"/>
  <c r="A37" i="20"/>
  <c r="H7" i="6"/>
  <c r="H8" i="6"/>
  <c r="H10" i="6"/>
  <c r="H12"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A85" i="21" l="1"/>
  <c r="B85" i="21" s="1"/>
  <c r="B37" i="21"/>
  <c r="A85" i="20"/>
  <c r="A85" i="15"/>
  <c r="W15"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V15"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B31" i="4"/>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G9" i="6"/>
  <c r="G13" i="6"/>
  <c r="O9" i="6"/>
  <c r="O11" i="6"/>
  <c r="O13"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G10" i="6"/>
  <c r="G12"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8" i="6"/>
  <c r="I10" i="6" l="1"/>
  <c r="I11" i="6"/>
  <c r="I12"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8" i="6" l="1"/>
  <c r="G6" i="6"/>
  <c r="G7" i="6"/>
  <c r="I6" i="6"/>
  <c r="I7" i="6"/>
  <c r="I5" i="6"/>
  <c r="M19" i="6" l="1"/>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B5" i="20" l="1"/>
  <c r="B13" i="2"/>
  <c r="A21" i="23" l="1"/>
  <c r="B13" i="20"/>
  <c r="B13" i="21"/>
  <c r="B61" i="20"/>
  <c r="B61" i="21"/>
  <c r="B53" i="21" s="1"/>
  <c r="T50" i="6"/>
  <c r="U50" i="6" s="1"/>
  <c r="T49" i="6"/>
  <c r="U49" i="6" s="1"/>
  <c r="T48" i="6"/>
  <c r="U48" i="6" s="1"/>
  <c r="T47" i="6"/>
  <c r="U47" i="6" s="1"/>
  <c r="T46" i="6"/>
  <c r="U46" i="6" s="1"/>
  <c r="T45" i="6"/>
  <c r="U45" i="6" s="1"/>
  <c r="T44" i="6"/>
  <c r="U44" i="6" s="1"/>
  <c r="T43" i="6"/>
  <c r="U43" i="6" s="1"/>
  <c r="T42" i="6"/>
  <c r="U42" i="6" s="1"/>
  <c r="T41" i="6"/>
  <c r="U41" i="6" s="1"/>
  <c r="T40" i="6"/>
  <c r="U40" i="6" s="1"/>
  <c r="T39" i="6"/>
  <c r="U39" i="6"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P50" i="6"/>
  <c r="Q50" i="6" s="1"/>
  <c r="P49" i="6"/>
  <c r="Q49" i="6" s="1"/>
  <c r="P48" i="6"/>
  <c r="Q48" i="6" s="1"/>
  <c r="P47" i="6"/>
  <c r="Q47" i="6" s="1"/>
  <c r="P46" i="6"/>
  <c r="Q46" i="6" s="1"/>
  <c r="P45" i="6"/>
  <c r="Q45" i="6" s="1"/>
  <c r="P44" i="6"/>
  <c r="Q44" i="6" s="1"/>
  <c r="P43" i="6"/>
  <c r="Q43" i="6" s="1"/>
  <c r="P42" i="6"/>
  <c r="Q42" i="6" s="1"/>
  <c r="P41" i="6"/>
  <c r="Q41" i="6" s="1"/>
  <c r="P40" i="6"/>
  <c r="Q40" i="6" s="1"/>
  <c r="P39" i="6"/>
  <c r="Q39" i="6" s="1"/>
  <c r="P38" i="6"/>
  <c r="Q38" i="6" s="1"/>
  <c r="P37" i="6"/>
  <c r="Q37" i="6" s="1"/>
  <c r="P36" i="6"/>
  <c r="Q36" i="6" s="1"/>
  <c r="P35" i="6"/>
  <c r="Q35" i="6" s="1"/>
  <c r="P34" i="6"/>
  <c r="Q34" i="6" s="1"/>
  <c r="P33" i="6"/>
  <c r="Q33" i="6" s="1"/>
  <c r="P32" i="6"/>
  <c r="Q32" i="6" s="1"/>
  <c r="P31" i="6"/>
  <c r="Q31" i="6" s="1"/>
  <c r="P30" i="6"/>
  <c r="Q30" i="6" s="1"/>
  <c r="P29" i="6"/>
  <c r="Q29" i="6" s="1"/>
  <c r="P28" i="6"/>
  <c r="Q28" i="6" s="1"/>
  <c r="P27" i="6"/>
  <c r="Q27" i="6" s="1"/>
  <c r="P26" i="6"/>
  <c r="Q26" i="6" s="1"/>
  <c r="P25" i="6"/>
  <c r="Q25" i="6" s="1"/>
  <c r="P24" i="6"/>
  <c r="Q24" i="6" s="1"/>
  <c r="P23" i="6"/>
  <c r="Q23" i="6" s="1"/>
  <c r="P22" i="6"/>
  <c r="Q22" i="6" s="1"/>
  <c r="P21" i="6"/>
  <c r="Q21" i="6" s="1"/>
  <c r="P20" i="6"/>
  <c r="Q20" i="6" s="1"/>
  <c r="P19" i="6"/>
  <c r="Q19" i="6" s="1"/>
  <c r="B11" i="3"/>
  <c r="B5" i="21" l="1"/>
  <c r="A12" i="4"/>
  <c r="B4" i="23"/>
  <c r="B108" i="2"/>
  <c r="A11" i="4"/>
  <c r="A2" i="4"/>
  <c r="A9" i="4"/>
  <c r="V20" i="23"/>
  <c r="R20" i="23"/>
  <c r="AC20" i="23" l="1"/>
  <c r="AB20" i="23"/>
  <c r="AA20" i="23"/>
  <c r="Y20" i="23"/>
  <c r="U20" i="23"/>
  <c r="AG20" i="23" s="1"/>
  <c r="T20" i="23"/>
  <c r="AF20" i="23" s="1"/>
  <c r="S20" i="23"/>
  <c r="W20" i="23" s="1"/>
  <c r="A2" i="23"/>
  <c r="A3" i="19"/>
  <c r="A3" i="18"/>
  <c r="A3" i="17"/>
  <c r="A3" i="21"/>
  <c r="A3" i="16"/>
  <c r="A3" i="15"/>
  <c r="A3" i="3"/>
  <c r="A3" i="20"/>
  <c r="X20" i="23" l="1"/>
  <c r="AE20" i="23"/>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A36" i="4"/>
  <c r="A35" i="4"/>
  <c r="A34" i="4"/>
  <c r="B11" i="19" l="1"/>
  <c r="B11" i="18"/>
  <c r="B11" i="17"/>
  <c r="B11" i="21"/>
  <c r="B11" i="16"/>
  <c r="B11" i="15"/>
  <c r="B7" i="3"/>
  <c r="B7" i="20"/>
  <c r="O4" i="6" l="1"/>
  <c r="O6" i="6"/>
  <c r="O8" i="6"/>
  <c r="O5" i="6"/>
  <c r="O7" i="6"/>
  <c r="B20" i="23"/>
  <c r="F20" i="23"/>
  <c r="C20" i="23"/>
  <c r="D20" i="23"/>
  <c r="E20" i="23"/>
  <c r="B10" i="21"/>
  <c r="B58" i="21" s="1"/>
  <c r="A36" i="16"/>
  <c r="B10" i="20"/>
  <c r="D17" i="2"/>
  <c r="A94" i="21"/>
  <c r="A93" i="21"/>
  <c r="A92" i="21"/>
  <c r="A91" i="21"/>
  <c r="B59" i="21"/>
  <c r="B56" i="21"/>
  <c r="B55" i="21"/>
  <c r="B54" i="21"/>
  <c r="A46" i="21"/>
  <c r="A45" i="21"/>
  <c r="A44" i="21"/>
  <c r="A43" i="21"/>
  <c r="A42" i="21"/>
  <c r="A41" i="21"/>
  <c r="A36" i="21"/>
  <c r="A35" i="21"/>
  <c r="A34" i="21"/>
  <c r="B34" i="21" s="1"/>
  <c r="A33" i="21"/>
  <c r="A32" i="21"/>
  <c r="B32" i="21" s="1"/>
  <c r="A31" i="21"/>
  <c r="B31" i="21" s="1"/>
  <c r="A30" i="21"/>
  <c r="A29" i="21"/>
  <c r="B29" i="21" s="1"/>
  <c r="A28" i="21"/>
  <c r="B28" i="21" s="1"/>
  <c r="A27" i="21"/>
  <c r="B27" i="21" s="1"/>
  <c r="A26" i="21"/>
  <c r="B26" i="21" s="1"/>
  <c r="A25" i="21"/>
  <c r="B30" i="21" l="1"/>
  <c r="B36" i="21"/>
  <c r="A84" i="16"/>
  <c r="B35" i="21"/>
  <c r="B33" i="21"/>
  <c r="C25" i="21"/>
  <c r="B25" i="21"/>
  <c r="A73" i="21"/>
  <c r="A75" i="21"/>
  <c r="B75" i="21" s="1"/>
  <c r="A81" i="21"/>
  <c r="A83" i="21"/>
  <c r="A78" i="21"/>
  <c r="A80" i="21"/>
  <c r="B80" i="21" s="1"/>
  <c r="A84" i="21"/>
  <c r="A77" i="21"/>
  <c r="B77" i="21" s="1"/>
  <c r="A74" i="21"/>
  <c r="B74" i="21" s="1"/>
  <c r="A79" i="21"/>
  <c r="B79" i="21" s="1"/>
  <c r="Z20" i="23"/>
  <c r="AD20" i="23"/>
  <c r="H20" i="23"/>
  <c r="G20" i="23"/>
  <c r="I20" i="23"/>
  <c r="A82" i="21"/>
  <c r="B82" i="21" s="1"/>
  <c r="A84" i="19"/>
  <c r="A84" i="15"/>
  <c r="E17" i="2"/>
  <c r="F17" i="2" s="1"/>
  <c r="G17" i="2" s="1"/>
  <c r="H17" i="2" s="1"/>
  <c r="I17" i="2" s="1"/>
  <c r="J17" i="2" s="1"/>
  <c r="K17" i="2" s="1"/>
  <c r="L17" i="2" s="1"/>
  <c r="N17" i="2" s="1"/>
  <c r="P17" i="2" s="1"/>
  <c r="Q17" i="2" s="1"/>
  <c r="R17" i="2" s="1"/>
  <c r="S17" i="2" s="1"/>
  <c r="T17" i="2" s="1"/>
  <c r="U17" i="2" s="1"/>
  <c r="V17" i="2" s="1"/>
  <c r="W17" i="2" s="1"/>
  <c r="X17" i="2" s="1"/>
  <c r="Y17" i="2" s="1"/>
  <c r="Z17" i="2" s="1"/>
  <c r="AB17" i="2" s="1"/>
  <c r="AC17" i="2" s="1"/>
  <c r="AD17" i="2" s="1"/>
  <c r="AE17" i="2" s="1"/>
  <c r="AF17" i="2" s="1"/>
  <c r="AG17" i="2" s="1"/>
  <c r="AH17" i="2" s="1"/>
  <c r="AI17" i="2" s="1"/>
  <c r="AJ17" i="2" s="1"/>
  <c r="AK17" i="2" s="1"/>
  <c r="AL17" i="2" s="1"/>
  <c r="A76" i="21"/>
  <c r="A94" i="20"/>
  <c r="A93" i="20"/>
  <c r="A92" i="20"/>
  <c r="A91" i="20"/>
  <c r="A46" i="20"/>
  <c r="A45" i="20"/>
  <c r="A44" i="20"/>
  <c r="A43" i="20"/>
  <c r="A42" i="20"/>
  <c r="A41" i="20"/>
  <c r="A36" i="20"/>
  <c r="A35" i="20"/>
  <c r="A34" i="20"/>
  <c r="A33" i="20"/>
  <c r="A32" i="20"/>
  <c r="A31" i="20"/>
  <c r="A30" i="20"/>
  <c r="A29" i="20"/>
  <c r="A28" i="20"/>
  <c r="A27" i="20"/>
  <c r="A26" i="20"/>
  <c r="A25" i="20"/>
  <c r="D25" i="21" l="1"/>
  <c r="C73" i="21"/>
  <c r="B73" i="21"/>
  <c r="C78" i="21"/>
  <c r="B78" i="21"/>
  <c r="B84" i="21"/>
  <c r="B83" i="21"/>
  <c r="B76" i="21"/>
  <c r="B81" i="21"/>
  <c r="A78" i="20"/>
  <c r="A79" i="20"/>
  <c r="A81" i="20"/>
  <c r="A80" i="20"/>
  <c r="A74" i="20"/>
  <c r="A82" i="20"/>
  <c r="A83" i="20"/>
  <c r="A77" i="20"/>
  <c r="A75" i="20"/>
  <c r="A73" i="20"/>
  <c r="A76" i="20"/>
  <c r="A84" i="20"/>
  <c r="A89" i="20"/>
  <c r="D78" i="21" l="1"/>
  <c r="D73" i="21"/>
  <c r="C78" i="20"/>
  <c r="A25" i="16" l="1"/>
  <c r="AU69" i="19"/>
  <c r="AQ69" i="19"/>
  <c r="AM69" i="19"/>
  <c r="AI69" i="19"/>
  <c r="AE69" i="19"/>
  <c r="AA69" i="19"/>
  <c r="W69" i="19"/>
  <c r="S69" i="19"/>
  <c r="O69" i="19"/>
  <c r="K69" i="19"/>
  <c r="G69" i="19"/>
  <c r="C69" i="19"/>
  <c r="AU68" i="19"/>
  <c r="AQ68" i="19"/>
  <c r="AM68" i="19"/>
  <c r="AI68" i="19"/>
  <c r="AE68" i="19"/>
  <c r="AA68" i="19"/>
  <c r="W68" i="19"/>
  <c r="S68" i="19"/>
  <c r="O68" i="19"/>
  <c r="K68" i="19"/>
  <c r="G68" i="19"/>
  <c r="C68" i="19"/>
  <c r="B59" i="19"/>
  <c r="B56" i="19"/>
  <c r="B55" i="19"/>
  <c r="B54" i="19"/>
  <c r="A81" i="19"/>
  <c r="A80" i="19"/>
  <c r="A77" i="19"/>
  <c r="A73" i="19"/>
  <c r="B10" i="19"/>
  <c r="B58" i="19" s="1"/>
  <c r="AU69" i="18"/>
  <c r="AQ69" i="18"/>
  <c r="AM69" i="18"/>
  <c r="AI69" i="18"/>
  <c r="AE69" i="18"/>
  <c r="AA69" i="18"/>
  <c r="W69" i="18"/>
  <c r="S69" i="18"/>
  <c r="O69" i="18"/>
  <c r="K69" i="18"/>
  <c r="G69" i="18"/>
  <c r="AU68" i="18"/>
  <c r="AQ68" i="18"/>
  <c r="AM68" i="18"/>
  <c r="AI68" i="18"/>
  <c r="AE68" i="18"/>
  <c r="AA68" i="18"/>
  <c r="W68" i="18"/>
  <c r="S68" i="18"/>
  <c r="O68" i="18"/>
  <c r="K68" i="18"/>
  <c r="G68" i="18"/>
  <c r="B59" i="18"/>
  <c r="B56" i="18"/>
  <c r="B55" i="18"/>
  <c r="B54" i="18"/>
  <c r="B10" i="18"/>
  <c r="B58" i="18" s="1"/>
  <c r="AU69" i="17"/>
  <c r="AQ69" i="17"/>
  <c r="AM69" i="17"/>
  <c r="AI69" i="17"/>
  <c r="AE69" i="17"/>
  <c r="AA69" i="17"/>
  <c r="W69" i="17"/>
  <c r="S69" i="17"/>
  <c r="O69" i="17"/>
  <c r="K69" i="17"/>
  <c r="G69" i="17"/>
  <c r="C69" i="17"/>
  <c r="AU68" i="17"/>
  <c r="AQ68" i="17"/>
  <c r="AM68" i="17"/>
  <c r="AI68" i="17"/>
  <c r="AE68" i="17"/>
  <c r="AA68" i="17"/>
  <c r="W68" i="17"/>
  <c r="S68" i="17"/>
  <c r="O68" i="17"/>
  <c r="K68" i="17"/>
  <c r="G68" i="17"/>
  <c r="C68" i="17"/>
  <c r="B59" i="17"/>
  <c r="B56" i="17"/>
  <c r="B54" i="17"/>
  <c r="A46" i="17"/>
  <c r="A45" i="17"/>
  <c r="A44" i="17"/>
  <c r="A43" i="17"/>
  <c r="A42" i="17"/>
  <c r="A41" i="17"/>
  <c r="B10" i="17"/>
  <c r="B58" i="17" s="1"/>
  <c r="A94" i="16"/>
  <c r="A93" i="16"/>
  <c r="A92" i="16"/>
  <c r="A91" i="16"/>
  <c r="AU69" i="16"/>
  <c r="AQ69" i="16"/>
  <c r="AM69" i="16"/>
  <c r="AI69" i="16"/>
  <c r="AE69" i="16"/>
  <c r="AA69" i="16"/>
  <c r="W69" i="16"/>
  <c r="S69" i="16"/>
  <c r="O69" i="16"/>
  <c r="K69" i="16"/>
  <c r="G69" i="16"/>
  <c r="C69" i="16"/>
  <c r="AU68" i="16"/>
  <c r="AQ68" i="16"/>
  <c r="AM68" i="16"/>
  <c r="AI68" i="16"/>
  <c r="AE68" i="16"/>
  <c r="AA68" i="16"/>
  <c r="W68" i="16"/>
  <c r="S68" i="16"/>
  <c r="O68" i="16"/>
  <c r="K68" i="16"/>
  <c r="G68" i="16"/>
  <c r="C68" i="16"/>
  <c r="A46" i="16"/>
  <c r="A45" i="16"/>
  <c r="A44" i="16"/>
  <c r="A43" i="16"/>
  <c r="A35" i="16"/>
  <c r="A34" i="16"/>
  <c r="A82" i="16" s="1"/>
  <c r="A33" i="16"/>
  <c r="A32" i="16"/>
  <c r="A80" i="16" s="1"/>
  <c r="A31" i="16"/>
  <c r="A79" i="16" s="1"/>
  <c r="A30" i="16"/>
  <c r="A29" i="16"/>
  <c r="A77" i="16" s="1"/>
  <c r="A28" i="16"/>
  <c r="A76" i="16" s="1"/>
  <c r="A27" i="16"/>
  <c r="A75" i="16" s="1"/>
  <c r="A26" i="16"/>
  <c r="A74" i="16" s="1"/>
  <c r="B10" i="16"/>
  <c r="A94" i="15"/>
  <c r="A93" i="15"/>
  <c r="A92" i="15"/>
  <c r="A91" i="15"/>
  <c r="AU69" i="15"/>
  <c r="AQ69" i="15"/>
  <c r="AM69" i="15"/>
  <c r="AI69" i="15"/>
  <c r="AE69" i="15"/>
  <c r="AA69" i="15"/>
  <c r="W69" i="15"/>
  <c r="S69" i="15"/>
  <c r="O69" i="15"/>
  <c r="K69" i="15"/>
  <c r="G69" i="15"/>
  <c r="C69" i="15"/>
  <c r="AU68" i="15"/>
  <c r="AQ68" i="15"/>
  <c r="AM68" i="15"/>
  <c r="AI68" i="15"/>
  <c r="AE68" i="15"/>
  <c r="AA68" i="15"/>
  <c r="W68" i="15"/>
  <c r="S68" i="15"/>
  <c r="O68" i="15"/>
  <c r="K68" i="15"/>
  <c r="G68" i="15"/>
  <c r="C68" i="15"/>
  <c r="A46" i="15"/>
  <c r="A45" i="15"/>
  <c r="A44" i="15"/>
  <c r="A43" i="15"/>
  <c r="A42" i="15"/>
  <c r="A41" i="15"/>
  <c r="A73" i="15"/>
  <c r="B10" i="15"/>
  <c r="AU69" i="3"/>
  <c r="AQ69" i="3"/>
  <c r="AM69" i="3"/>
  <c r="AI69" i="3"/>
  <c r="AE69" i="3"/>
  <c r="AA69" i="3"/>
  <c r="W69" i="3"/>
  <c r="S69" i="3"/>
  <c r="O69" i="3"/>
  <c r="K69" i="3"/>
  <c r="G69" i="3"/>
  <c r="C69" i="3"/>
  <c r="AU68" i="3"/>
  <c r="AQ68" i="3"/>
  <c r="AM68" i="3"/>
  <c r="AI68" i="3"/>
  <c r="AE68" i="3"/>
  <c r="AA68" i="3"/>
  <c r="W68" i="3"/>
  <c r="S68" i="3"/>
  <c r="O68" i="3"/>
  <c r="K68" i="3"/>
  <c r="G68" i="3"/>
  <c r="C68" i="3"/>
  <c r="A92" i="3"/>
  <c r="A94" i="3"/>
  <c r="A93" i="3"/>
  <c r="A91" i="3"/>
  <c r="A78" i="16" l="1"/>
  <c r="A81" i="16"/>
  <c r="A83" i="16"/>
  <c r="AM25" i="16"/>
  <c r="AQ25" i="16"/>
  <c r="AI25" i="16"/>
  <c r="AE25" i="16"/>
  <c r="A73" i="16"/>
  <c r="C25" i="16"/>
  <c r="AU25" i="16"/>
  <c r="AA25" i="16"/>
  <c r="W25" i="16"/>
  <c r="K25" i="16"/>
  <c r="S25" i="16"/>
  <c r="O25" i="16"/>
  <c r="G25" i="16"/>
  <c r="C73" i="19"/>
  <c r="AI73" i="15"/>
  <c r="W73" i="15"/>
  <c r="K73" i="15"/>
  <c r="AM73" i="15"/>
  <c r="AA73" i="15"/>
  <c r="AQ73" i="15"/>
  <c r="O73" i="15"/>
  <c r="C73" i="15"/>
  <c r="AE73" i="15"/>
  <c r="AU73" i="15"/>
  <c r="S73" i="15"/>
  <c r="G73" i="15"/>
  <c r="A74" i="15"/>
  <c r="A78" i="15"/>
  <c r="A81" i="15"/>
  <c r="A82" i="15"/>
  <c r="A83" i="15"/>
  <c r="AE73" i="19"/>
  <c r="O73" i="19"/>
  <c r="AI73" i="19"/>
  <c r="AM73" i="19"/>
  <c r="AQ73" i="19"/>
  <c r="S73" i="19"/>
  <c r="W73" i="19"/>
  <c r="AA73" i="19"/>
  <c r="AU73" i="19"/>
  <c r="G73" i="19"/>
  <c r="K73" i="19"/>
  <c r="A75" i="19"/>
  <c r="A76" i="19"/>
  <c r="A83" i="19"/>
  <c r="A82" i="19"/>
  <c r="A74" i="19"/>
  <c r="A79" i="19"/>
  <c r="A78" i="19"/>
  <c r="A79" i="15"/>
  <c r="A77" i="15"/>
  <c r="A80" i="15"/>
  <c r="A75" i="15"/>
  <c r="A76" i="15"/>
  <c r="B6" i="2"/>
  <c r="AQ73" i="16" l="1"/>
  <c r="AU73" i="16"/>
  <c r="G73" i="16"/>
  <c r="AI73" i="16"/>
  <c r="AE73" i="16"/>
  <c r="AA73" i="16"/>
  <c r="W73" i="16"/>
  <c r="S73" i="16"/>
  <c r="K73" i="16"/>
  <c r="C73" i="16"/>
  <c r="AM73" i="16"/>
  <c r="O73" i="16"/>
  <c r="AE78" i="16"/>
  <c r="AM78" i="16"/>
  <c r="AU78" i="16"/>
  <c r="K78" i="16"/>
  <c r="AI78" i="16"/>
  <c r="AQ78" i="16"/>
  <c r="O78" i="16"/>
  <c r="W78" i="16"/>
  <c r="AA78" i="16"/>
  <c r="G78" i="16"/>
  <c r="S78" i="16"/>
  <c r="C78" i="16"/>
  <c r="C78" i="19"/>
  <c r="AU78" i="15"/>
  <c r="AE78" i="15"/>
  <c r="S78" i="15"/>
  <c r="G78" i="15"/>
  <c r="C78" i="15"/>
  <c r="AI78" i="15"/>
  <c r="W78" i="15"/>
  <c r="K78" i="15"/>
  <c r="AM78" i="15"/>
  <c r="AA78" i="15"/>
  <c r="AQ78" i="15"/>
  <c r="O78" i="15"/>
  <c r="AU78" i="19"/>
  <c r="W78" i="19"/>
  <c r="G78" i="19"/>
  <c r="AA78" i="19"/>
  <c r="K78" i="19"/>
  <c r="AE78" i="19"/>
  <c r="AI78" i="19"/>
  <c r="AQ78" i="19"/>
  <c r="O78" i="19"/>
  <c r="S78" i="19"/>
  <c r="AM78" i="19"/>
  <c r="B53" i="3" l="1"/>
  <c r="B13" i="4"/>
  <c r="S7" i="23"/>
  <c r="AA7" i="23"/>
  <c r="G7" i="23"/>
  <c r="K7" i="23"/>
  <c r="AE7" i="23"/>
  <c r="O7" i="23"/>
  <c r="W7" i="23"/>
  <c r="C7" i="23"/>
  <c r="B33" i="4"/>
  <c r="J86" i="2"/>
  <c r="C13" i="2"/>
  <c r="C20" i="2" s="1"/>
  <c r="C27" i="2" s="1"/>
  <c r="D45" i="2" s="1"/>
  <c r="D61" i="2" s="1"/>
  <c r="O86" i="2"/>
  <c r="G86" i="2"/>
  <c r="K86" i="2"/>
  <c r="M13" i="2"/>
  <c r="M86" i="2"/>
  <c r="B5" i="3"/>
  <c r="AD61" i="3" s="1"/>
  <c r="K13" i="2"/>
  <c r="H86" i="2"/>
  <c r="L86" i="2"/>
  <c r="D13" i="2"/>
  <c r="P86" i="2"/>
  <c r="F86" i="2"/>
  <c r="G13" i="2"/>
  <c r="L13" i="2"/>
  <c r="F13" i="2"/>
  <c r="I13" i="2"/>
  <c r="B10" i="2"/>
  <c r="J13" i="2"/>
  <c r="B20" i="2"/>
  <c r="B27" i="2" s="1"/>
  <c r="A31" i="4"/>
  <c r="F107" i="2"/>
  <c r="I86" i="2"/>
  <c r="N86" i="2"/>
  <c r="H13" i="2"/>
  <c r="Q86" i="2"/>
  <c r="B5" i="17"/>
  <c r="AT61" i="17" s="1"/>
  <c r="E13" i="2"/>
  <c r="N13" i="2"/>
  <c r="Z13" i="2" l="1"/>
  <c r="B53" i="15"/>
  <c r="B35" i="4"/>
  <c r="B34" i="4"/>
  <c r="B36" i="4"/>
  <c r="C45" i="2"/>
  <c r="D62" i="20"/>
  <c r="I93" i="2"/>
  <c r="B11" i="2"/>
  <c r="O100" i="2" s="1"/>
  <c r="V13" i="2"/>
  <c r="C13" i="4"/>
  <c r="P7" i="23"/>
  <c r="T7" i="23"/>
  <c r="AB7" i="23"/>
  <c r="H7" i="23"/>
  <c r="X7" i="23"/>
  <c r="D7" i="23"/>
  <c r="AF7" i="23"/>
  <c r="L7" i="23"/>
  <c r="C33" i="4"/>
  <c r="N93" i="2"/>
  <c r="S13" i="2"/>
  <c r="H93" i="2"/>
  <c r="Q13" i="2"/>
  <c r="G93" i="2"/>
  <c r="B5" i="15"/>
  <c r="AP61" i="15" s="1"/>
  <c r="AP61" i="3"/>
  <c r="R13" i="3"/>
  <c r="AP13" i="17"/>
  <c r="AD13" i="3"/>
  <c r="V13" i="3"/>
  <c r="Q93" i="2"/>
  <c r="AL61" i="3"/>
  <c r="T13" i="2"/>
  <c r="Z13" i="3"/>
  <c r="U13" i="2"/>
  <c r="K93" i="2"/>
  <c r="V13" i="17"/>
  <c r="W13" i="2"/>
  <c r="J13" i="3"/>
  <c r="J93" i="2"/>
  <c r="AL13" i="3"/>
  <c r="N61" i="3"/>
  <c r="F93" i="2"/>
  <c r="J61" i="3"/>
  <c r="B53" i="17"/>
  <c r="Y13" i="2"/>
  <c r="Z13" i="17"/>
  <c r="B13" i="17"/>
  <c r="AL61" i="17"/>
  <c r="AT13" i="17"/>
  <c r="R61" i="3"/>
  <c r="AT13" i="3"/>
  <c r="Z61" i="3"/>
  <c r="V61" i="17"/>
  <c r="J13" i="17"/>
  <c r="F13" i="17"/>
  <c r="AH61" i="3"/>
  <c r="AP13" i="3"/>
  <c r="N13" i="17"/>
  <c r="AD13" i="17"/>
  <c r="AH61" i="17"/>
  <c r="AL13" i="17"/>
  <c r="O13" i="2"/>
  <c r="R13" i="2"/>
  <c r="F13" i="3"/>
  <c r="L93" i="2"/>
  <c r="O93" i="2"/>
  <c r="AH13" i="3"/>
  <c r="V61" i="3"/>
  <c r="J61" i="17"/>
  <c r="N61" i="17"/>
  <c r="R13" i="17"/>
  <c r="B5" i="18"/>
  <c r="AP13" i="18" s="1"/>
  <c r="P13" i="2"/>
  <c r="AP61" i="17"/>
  <c r="R61" i="17"/>
  <c r="B13" i="3"/>
  <c r="B61" i="3"/>
  <c r="F61" i="3"/>
  <c r="AD61" i="17"/>
  <c r="AH13" i="17"/>
  <c r="F61" i="17"/>
  <c r="N13" i="3"/>
  <c r="M93" i="2"/>
  <c r="P93" i="2"/>
  <c r="AT61" i="3"/>
  <c r="Z61" i="17"/>
  <c r="B61" i="17"/>
  <c r="X13" i="2"/>
  <c r="AK13" i="2"/>
  <c r="B5" i="16"/>
  <c r="AG13" i="2" l="1"/>
  <c r="B73" i="3"/>
  <c r="D73" i="3" s="1"/>
  <c r="B83" i="3"/>
  <c r="B84" i="3"/>
  <c r="B74" i="3"/>
  <c r="B76" i="3"/>
  <c r="B79" i="3"/>
  <c r="B82" i="3"/>
  <c r="B80" i="3"/>
  <c r="B81" i="3"/>
  <c r="B78" i="3"/>
  <c r="D78" i="3" s="1"/>
  <c r="B75" i="3"/>
  <c r="B77" i="3"/>
  <c r="B85" i="3"/>
  <c r="AB13" i="2"/>
  <c r="B25" i="17"/>
  <c r="D25" i="17" s="1"/>
  <c r="B26" i="17"/>
  <c r="B32" i="17"/>
  <c r="B27" i="17"/>
  <c r="B29" i="17"/>
  <c r="B35" i="17"/>
  <c r="B36" i="17"/>
  <c r="B31" i="17"/>
  <c r="B33" i="17"/>
  <c r="B37" i="17"/>
  <c r="B30" i="17"/>
  <c r="B28" i="17"/>
  <c r="B34" i="17"/>
  <c r="B37" i="3"/>
  <c r="B32" i="3"/>
  <c r="B33" i="3"/>
  <c r="B26" i="3"/>
  <c r="B35" i="3"/>
  <c r="B31" i="3"/>
  <c r="B30" i="3"/>
  <c r="B25" i="3"/>
  <c r="D25" i="3" s="1"/>
  <c r="B27" i="3"/>
  <c r="B28" i="3"/>
  <c r="B34" i="3"/>
  <c r="B29" i="3"/>
  <c r="B36" i="3"/>
  <c r="B73" i="17"/>
  <c r="D73" i="17" s="1"/>
  <c r="B81" i="17"/>
  <c r="B74" i="17"/>
  <c r="B83" i="17"/>
  <c r="B84" i="17"/>
  <c r="B75" i="17"/>
  <c r="B78" i="17"/>
  <c r="D78" i="17" s="1"/>
  <c r="B80" i="17"/>
  <c r="B82" i="17"/>
  <c r="B76" i="17"/>
  <c r="B79" i="17"/>
  <c r="B85" i="17"/>
  <c r="B77" i="17"/>
  <c r="G100" i="2"/>
  <c r="B37" i="20"/>
  <c r="B26" i="20"/>
  <c r="B33" i="20"/>
  <c r="B28" i="20"/>
  <c r="B34" i="20"/>
  <c r="B30" i="20"/>
  <c r="B35" i="20"/>
  <c r="B32" i="20"/>
  <c r="B36" i="20"/>
  <c r="B29" i="20"/>
  <c r="B27" i="20"/>
  <c r="B31" i="20"/>
  <c r="B25" i="20"/>
  <c r="C61" i="2"/>
  <c r="N100" i="2"/>
  <c r="B53" i="16"/>
  <c r="I100" i="2"/>
  <c r="Q100" i="2"/>
  <c r="B76" i="2"/>
  <c r="N13" i="18"/>
  <c r="AD61" i="18"/>
  <c r="F13" i="15"/>
  <c r="C35" i="4"/>
  <c r="C36" i="4"/>
  <c r="C34" i="4"/>
  <c r="V61" i="15"/>
  <c r="R61" i="15"/>
  <c r="AD61" i="15"/>
  <c r="AL13" i="15"/>
  <c r="F61" i="15"/>
  <c r="N13" i="15"/>
  <c r="AT13" i="15"/>
  <c r="AD13" i="15"/>
  <c r="Z13" i="15"/>
  <c r="F100" i="2"/>
  <c r="J13" i="18"/>
  <c r="AH13" i="2"/>
  <c r="AH20" i="2" s="1"/>
  <c r="AH27" i="2" s="1"/>
  <c r="AI45" i="2" s="1"/>
  <c r="AL13" i="2"/>
  <c r="AL20" i="2" s="1"/>
  <c r="AL27" i="2" s="1"/>
  <c r="AM45" i="2" s="1"/>
  <c r="D13" i="4"/>
  <c r="U7" i="23"/>
  <c r="AC7" i="23"/>
  <c r="I7" i="23"/>
  <c r="Q7" i="23"/>
  <c r="Y7" i="23"/>
  <c r="E7" i="23"/>
  <c r="AG7" i="23"/>
  <c r="M7" i="23"/>
  <c r="D33" i="4"/>
  <c r="B2" i="6"/>
  <c r="J100" i="2"/>
  <c r="AE13" i="2"/>
  <c r="AE20" i="2" s="1"/>
  <c r="AE27" i="2" s="1"/>
  <c r="AF45" i="2" s="1"/>
  <c r="AJ13" i="2"/>
  <c r="AJ20" i="2" s="1"/>
  <c r="AJ27" i="2" s="1"/>
  <c r="AK45" i="2" s="1"/>
  <c r="K100" i="2"/>
  <c r="AF13" i="2"/>
  <c r="AF20" i="2" s="1"/>
  <c r="AF27" i="2" s="1"/>
  <c r="AG45" i="2" s="1"/>
  <c r="AD13" i="2"/>
  <c r="AD20" i="2" s="1"/>
  <c r="AD27" i="2" s="1"/>
  <c r="AE45" i="2" s="1"/>
  <c r="AA13" i="2"/>
  <c r="AA20" i="2" s="1"/>
  <c r="AA27" i="2" s="1"/>
  <c r="H100" i="2"/>
  <c r="L100" i="2"/>
  <c r="AI13" i="2"/>
  <c r="AI20" i="2" s="1"/>
  <c r="AI27" i="2" s="1"/>
  <c r="AJ45" i="2" s="1"/>
  <c r="P100" i="2"/>
  <c r="M100" i="2"/>
  <c r="B5" i="19"/>
  <c r="AT13" i="19" s="1"/>
  <c r="AC13" i="2"/>
  <c r="AC20" i="2" s="1"/>
  <c r="AC27" i="2" s="1"/>
  <c r="AD45" i="2" s="1"/>
  <c r="J13" i="15"/>
  <c r="AL61" i="15"/>
  <c r="B13" i="15"/>
  <c r="AP13" i="15"/>
  <c r="AT61" i="15"/>
  <c r="AH13" i="15"/>
  <c r="B61" i="15"/>
  <c r="R13" i="15"/>
  <c r="Z61" i="15"/>
  <c r="AH61" i="15"/>
  <c r="J61" i="15"/>
  <c r="N61" i="15"/>
  <c r="V13" i="15"/>
  <c r="Z13" i="18"/>
  <c r="AL61" i="18"/>
  <c r="AH13" i="18"/>
  <c r="V13" i="18"/>
  <c r="AT61" i="18"/>
  <c r="AP61" i="18"/>
  <c r="AL13" i="18"/>
  <c r="F13" i="18"/>
  <c r="B53" i="18"/>
  <c r="R13" i="18"/>
  <c r="B61" i="18"/>
  <c r="V61" i="18"/>
  <c r="AD13" i="18"/>
  <c r="F61" i="18"/>
  <c r="AT13" i="18"/>
  <c r="J61" i="18"/>
  <c r="N61" i="18"/>
  <c r="R61" i="18"/>
  <c r="B13" i="18"/>
  <c r="Z61" i="18"/>
  <c r="AH61" i="18"/>
  <c r="F61" i="16"/>
  <c r="AL13" i="16"/>
  <c r="Z13" i="16"/>
  <c r="V13" i="16"/>
  <c r="AP61" i="16"/>
  <c r="N13" i="16"/>
  <c r="AL61" i="16"/>
  <c r="J13" i="16"/>
  <c r="V61" i="16"/>
  <c r="F13" i="16"/>
  <c r="N61" i="16"/>
  <c r="AT13" i="16"/>
  <c r="J61" i="16"/>
  <c r="AP13" i="16"/>
  <c r="B13" i="16"/>
  <c r="AH13" i="16"/>
  <c r="B61" i="16"/>
  <c r="Z61" i="16"/>
  <c r="AD61" i="16"/>
  <c r="AD13" i="16"/>
  <c r="R61" i="16"/>
  <c r="R13" i="16"/>
  <c r="AT61" i="16"/>
  <c r="AH61" i="16"/>
  <c r="O20" i="2"/>
  <c r="O27" i="2" s="1"/>
  <c r="P45" i="2" s="1"/>
  <c r="P20" i="2"/>
  <c r="P27" i="2" s="1"/>
  <c r="Q45" i="2" s="1"/>
  <c r="Q20" i="2"/>
  <c r="Q27" i="2" s="1"/>
  <c r="R45" i="2" s="1"/>
  <c r="R20" i="2"/>
  <c r="R27" i="2" s="1"/>
  <c r="S45" i="2" s="1"/>
  <c r="S20" i="2"/>
  <c r="S27" i="2" s="1"/>
  <c r="T45" i="2" s="1"/>
  <c r="T20" i="2"/>
  <c r="T27" i="2" s="1"/>
  <c r="U45" i="2" s="1"/>
  <c r="U20" i="2"/>
  <c r="U27" i="2" s="1"/>
  <c r="V45" i="2" s="1"/>
  <c r="V20" i="2"/>
  <c r="V27" i="2" s="1"/>
  <c r="W45" i="2" s="1"/>
  <c r="W20" i="2"/>
  <c r="W27" i="2" s="1"/>
  <c r="X45" i="2" s="1"/>
  <c r="X20" i="2"/>
  <c r="X27" i="2" s="1"/>
  <c r="Y45" i="2" s="1"/>
  <c r="Y20" i="2"/>
  <c r="Y27" i="2" s="1"/>
  <c r="Z45" i="2" s="1"/>
  <c r="Z20" i="2"/>
  <c r="Z27" i="2" s="1"/>
  <c r="AA45" i="2" s="1"/>
  <c r="AB20" i="2"/>
  <c r="AB27" i="2" s="1"/>
  <c r="AC45" i="2" s="1"/>
  <c r="AG20" i="2"/>
  <c r="AG27" i="2" s="1"/>
  <c r="AH45" i="2" s="1"/>
  <c r="AK20" i="2"/>
  <c r="AK27" i="2" s="1"/>
  <c r="AL45" i="2" s="1"/>
  <c r="B85" i="20" l="1"/>
  <c r="B73" i="20"/>
  <c r="B79" i="20"/>
  <c r="B75" i="20"/>
  <c r="B78" i="20"/>
  <c r="B80" i="20"/>
  <c r="B84" i="20"/>
  <c r="B74" i="20"/>
  <c r="B81" i="20"/>
  <c r="B76" i="20"/>
  <c r="B82" i="20"/>
  <c r="B77" i="20"/>
  <c r="B83" i="20"/>
  <c r="Z76" i="2"/>
  <c r="AA61" i="2"/>
  <c r="AH76" i="2"/>
  <c r="AI61" i="2"/>
  <c r="AJ76" i="2"/>
  <c r="AK61" i="2"/>
  <c r="AG76" i="2"/>
  <c r="AH61" i="2"/>
  <c r="AB76" i="2"/>
  <c r="AC61" i="2"/>
  <c r="X76" i="2"/>
  <c r="Y61" i="2"/>
  <c r="AE76" i="2"/>
  <c r="AF61" i="2"/>
  <c r="AF76" i="2"/>
  <c r="AG61" i="2"/>
  <c r="AA76" i="2"/>
  <c r="AB61" i="2"/>
  <c r="Y76" i="2"/>
  <c r="Z61" i="2"/>
  <c r="W76" i="2"/>
  <c r="X61" i="2"/>
  <c r="AC76" i="2"/>
  <c r="AD61" i="2"/>
  <c r="T76" i="2"/>
  <c r="U61" i="2"/>
  <c r="AL76" i="2"/>
  <c r="AM61" i="2"/>
  <c r="U76" i="2"/>
  <c r="V61" i="2"/>
  <c r="S76" i="2"/>
  <c r="T61" i="2"/>
  <c r="Q76" i="2"/>
  <c r="R61" i="2"/>
  <c r="AD76" i="2"/>
  <c r="AE61" i="2"/>
  <c r="P76" i="2"/>
  <c r="Q61" i="2"/>
  <c r="AI76" i="2"/>
  <c r="AJ61" i="2"/>
  <c r="V76" i="2"/>
  <c r="W61" i="2"/>
  <c r="R76" i="2"/>
  <c r="S61" i="2"/>
  <c r="O76" i="2"/>
  <c r="P61" i="2"/>
  <c r="AK76" i="2"/>
  <c r="AL61" i="2"/>
  <c r="J13" i="19"/>
  <c r="N61" i="19"/>
  <c r="AP13" i="19"/>
  <c r="B61" i="19"/>
  <c r="J61" i="19"/>
  <c r="AL13" i="19"/>
  <c r="Z61" i="19"/>
  <c r="AP61" i="19"/>
  <c r="V61" i="19"/>
  <c r="B13" i="19"/>
  <c r="AD13" i="19"/>
  <c r="AH13" i="19"/>
  <c r="AL61" i="19"/>
  <c r="B53" i="19"/>
  <c r="F13" i="19"/>
  <c r="R13" i="19"/>
  <c r="Z13" i="19"/>
  <c r="V13" i="19"/>
  <c r="AH61" i="19"/>
  <c r="R61" i="19"/>
  <c r="F61" i="19"/>
  <c r="N13" i="19"/>
  <c r="AT61" i="19"/>
  <c r="AD61" i="19"/>
  <c r="D35" i="4"/>
  <c r="D34" i="4"/>
  <c r="D36" i="4"/>
  <c r="A46" i="3" l="1"/>
  <c r="A45" i="3"/>
  <c r="A44" i="3"/>
  <c r="A43" i="3"/>
  <c r="A42" i="3"/>
  <c r="A41" i="3"/>
  <c r="B10" i="3"/>
  <c r="D15" i="2" l="1"/>
  <c r="E15" i="2" s="1"/>
  <c r="F15" i="2" s="1"/>
  <c r="G15" i="2" s="1"/>
  <c r="H15" i="2" s="1"/>
  <c r="I15" i="2" s="1"/>
  <c r="J15" i="2" s="1"/>
  <c r="K15" i="2" s="1"/>
  <c r="L15" i="2" s="1"/>
  <c r="N15" i="2" s="1"/>
  <c r="D14" i="2"/>
  <c r="E14" i="2" s="1"/>
  <c r="F14" i="2" s="1"/>
  <c r="E88" i="2"/>
  <c r="E89" i="2"/>
  <c r="E90" i="2"/>
  <c r="E91" i="2"/>
  <c r="E87" i="2"/>
  <c r="A22" i="2"/>
  <c r="A23" i="2"/>
  <c r="A24" i="2"/>
  <c r="A25" i="2"/>
  <c r="A21" i="2"/>
  <c r="N20" i="2"/>
  <c r="N27" i="2" s="1"/>
  <c r="O45" i="2" s="1"/>
  <c r="M20" i="2"/>
  <c r="M27" i="2" s="1"/>
  <c r="N45" i="2" s="1"/>
  <c r="L20" i="2"/>
  <c r="L27" i="2" s="1"/>
  <c r="M45" i="2" s="1"/>
  <c r="K20" i="2"/>
  <c r="K27" i="2" s="1"/>
  <c r="L45" i="2" s="1"/>
  <c r="J20" i="2"/>
  <c r="J27" i="2" s="1"/>
  <c r="K45" i="2" s="1"/>
  <c r="I20" i="2"/>
  <c r="I27" i="2" s="1"/>
  <c r="J45" i="2" s="1"/>
  <c r="H20" i="2"/>
  <c r="H27" i="2" s="1"/>
  <c r="I45" i="2" s="1"/>
  <c r="G20" i="2"/>
  <c r="G27" i="2" s="1"/>
  <c r="H45" i="2" s="1"/>
  <c r="F20" i="2"/>
  <c r="F27" i="2" s="1"/>
  <c r="G45" i="2" s="1"/>
  <c r="E20" i="2"/>
  <c r="E27" i="2" s="1"/>
  <c r="F45" i="2" s="1"/>
  <c r="D20" i="2"/>
  <c r="D27" i="2" s="1"/>
  <c r="D16" i="2"/>
  <c r="E16" i="2" s="1"/>
  <c r="F16" i="2" s="1"/>
  <c r="G16" i="2" s="1"/>
  <c r="H16" i="2" s="1"/>
  <c r="I16" i="2" s="1"/>
  <c r="J16" i="2" s="1"/>
  <c r="K16" i="2" s="1"/>
  <c r="L16" i="2" s="1"/>
  <c r="N16" i="2" s="1"/>
  <c r="L76" i="2" l="1"/>
  <c r="M61" i="2"/>
  <c r="J76" i="2"/>
  <c r="K61" i="2"/>
  <c r="I76" i="2"/>
  <c r="J61" i="2"/>
  <c r="N76" i="2"/>
  <c r="O61" i="2"/>
  <c r="K76" i="2"/>
  <c r="L61" i="2"/>
  <c r="H76" i="2"/>
  <c r="I61" i="2"/>
  <c r="M76" i="2"/>
  <c r="N61" i="2"/>
  <c r="F76" i="2"/>
  <c r="G61" i="2"/>
  <c r="E76" i="2"/>
  <c r="F61" i="2"/>
  <c r="G76" i="2"/>
  <c r="H61" i="2"/>
  <c r="D14" i="21"/>
  <c r="D14" i="20"/>
  <c r="D62" i="21"/>
  <c r="F90" i="2"/>
  <c r="G90" i="2"/>
  <c r="A19" i="21"/>
  <c r="B19" i="21" s="1"/>
  <c r="A19" i="20"/>
  <c r="B19" i="20" s="1"/>
  <c r="A19" i="18"/>
  <c r="A67" i="18" s="1"/>
  <c r="A19" i="17"/>
  <c r="A67" i="17" s="1"/>
  <c r="A19" i="16"/>
  <c r="A67" i="16" s="1"/>
  <c r="A19" i="15"/>
  <c r="A67" i="15" s="1"/>
  <c r="A19" i="19"/>
  <c r="A67" i="19" s="1"/>
  <c r="Q15" i="2"/>
  <c r="A20" i="21"/>
  <c r="B20" i="21" s="1"/>
  <c r="A20" i="20"/>
  <c r="B20" i="20" s="1"/>
  <c r="A20" i="17"/>
  <c r="A68" i="17" s="1"/>
  <c r="AP68" i="17" s="1"/>
  <c r="AR68" i="17" s="1"/>
  <c r="A20" i="18"/>
  <c r="A68" i="18" s="1"/>
  <c r="AD68" i="18" s="1"/>
  <c r="AF68" i="18" s="1"/>
  <c r="A20" i="16"/>
  <c r="A68" i="16" s="1"/>
  <c r="AL68" i="16" s="1"/>
  <c r="AN68" i="16" s="1"/>
  <c r="A20" i="15"/>
  <c r="A68" i="15" s="1"/>
  <c r="AH68" i="15" s="1"/>
  <c r="AJ68" i="15" s="1"/>
  <c r="A20" i="19"/>
  <c r="A68" i="19" s="1"/>
  <c r="R68" i="19" s="1"/>
  <c r="T68" i="19" s="1"/>
  <c r="A18" i="21"/>
  <c r="B18" i="21" s="1"/>
  <c r="A18" i="20"/>
  <c r="B18" i="20" s="1"/>
  <c r="A18" i="18"/>
  <c r="A66" i="18" s="1"/>
  <c r="A18" i="17"/>
  <c r="A66" i="17" s="1"/>
  <c r="A18" i="16"/>
  <c r="A66" i="16" s="1"/>
  <c r="A18" i="15"/>
  <c r="A66" i="15" s="1"/>
  <c r="A18" i="19"/>
  <c r="A66" i="19" s="1"/>
  <c r="Q16" i="2"/>
  <c r="A21" i="21"/>
  <c r="B21" i="21" s="1"/>
  <c r="A21" i="20"/>
  <c r="B21" i="20" s="1"/>
  <c r="A21" i="18"/>
  <c r="A69" i="18" s="1"/>
  <c r="V69" i="18" s="1"/>
  <c r="X69" i="18" s="1"/>
  <c r="A21" i="17"/>
  <c r="A69" i="17" s="1"/>
  <c r="B69" i="17" s="1"/>
  <c r="D69" i="17" s="1"/>
  <c r="A21" i="16"/>
  <c r="A69" i="16" s="1"/>
  <c r="AD69" i="16" s="1"/>
  <c r="AF69" i="16" s="1"/>
  <c r="A21" i="19"/>
  <c r="A69" i="19" s="1"/>
  <c r="N69" i="19" s="1"/>
  <c r="P69" i="19" s="1"/>
  <c r="A21" i="15"/>
  <c r="A69" i="15" s="1"/>
  <c r="J69" i="15" s="1"/>
  <c r="L69" i="15" s="1"/>
  <c r="A17" i="21"/>
  <c r="B17" i="21" s="1"/>
  <c r="A17" i="20"/>
  <c r="B17" i="20" s="1"/>
  <c r="A17" i="18"/>
  <c r="A65" i="18" s="1"/>
  <c r="A17" i="17"/>
  <c r="A65" i="17" s="1"/>
  <c r="A17" i="16"/>
  <c r="A65" i="16" s="1"/>
  <c r="A17" i="19"/>
  <c r="A65" i="19" s="1"/>
  <c r="A17" i="15"/>
  <c r="A65" i="15" s="1"/>
  <c r="E96" i="2"/>
  <c r="Q89" i="2"/>
  <c r="E95" i="2"/>
  <c r="Q88" i="2"/>
  <c r="E94" i="2"/>
  <c r="E98" i="2"/>
  <c r="Q91" i="2"/>
  <c r="E97" i="2"/>
  <c r="Q90" i="2"/>
  <c r="O88" i="2"/>
  <c r="P88" i="2"/>
  <c r="L88" i="2"/>
  <c r="M88" i="2"/>
  <c r="N88" i="2"/>
  <c r="K88" i="2"/>
  <c r="G88" i="2"/>
  <c r="I88" i="2"/>
  <c r="H88" i="2"/>
  <c r="A21" i="3"/>
  <c r="A18" i="3"/>
  <c r="H87" i="2"/>
  <c r="K17" i="3" s="1"/>
  <c r="K18" i="3" s="1"/>
  <c r="G87" i="2"/>
  <c r="G17" i="3" s="1"/>
  <c r="G18" i="3" s="1"/>
  <c r="I87" i="2"/>
  <c r="O17" i="3" s="1"/>
  <c r="A19" i="3"/>
  <c r="P91" i="2"/>
  <c r="L91" i="2"/>
  <c r="M91" i="2"/>
  <c r="N91" i="2"/>
  <c r="O91" i="2"/>
  <c r="H91" i="2"/>
  <c r="K91" i="2"/>
  <c r="G91" i="2"/>
  <c r="I91" i="2"/>
  <c r="P90" i="2"/>
  <c r="L90" i="2"/>
  <c r="M90" i="2"/>
  <c r="N90" i="2"/>
  <c r="O90" i="2"/>
  <c r="I90" i="2"/>
  <c r="K90" i="2"/>
  <c r="H90" i="2"/>
  <c r="A17" i="3"/>
  <c r="O89" i="2"/>
  <c r="P89" i="2"/>
  <c r="L89" i="2"/>
  <c r="M89" i="2"/>
  <c r="N89" i="2"/>
  <c r="H89" i="2"/>
  <c r="K89" i="2"/>
  <c r="I89" i="2"/>
  <c r="G89" i="2"/>
  <c r="F89" i="2"/>
  <c r="F91" i="2"/>
  <c r="F87" i="2"/>
  <c r="C17" i="3" s="1"/>
  <c r="F88" i="2"/>
  <c r="J89" i="2"/>
  <c r="J90" i="2"/>
  <c r="J88" i="2"/>
  <c r="J91" i="2"/>
  <c r="A20" i="3"/>
  <c r="E45" i="2"/>
  <c r="G14" i="2"/>
  <c r="H14" i="2" s="1"/>
  <c r="I14" i="2" s="1"/>
  <c r="J14" i="2" s="1"/>
  <c r="K14" i="2" s="1"/>
  <c r="L14" i="2" s="1"/>
  <c r="N14" i="2" s="1"/>
  <c r="R15" i="2" l="1"/>
  <c r="H95" i="2"/>
  <c r="C18" i="3"/>
  <c r="R16" i="2"/>
  <c r="H96" i="2"/>
  <c r="O18" i="3"/>
  <c r="E61" i="2"/>
  <c r="J29" i="17"/>
  <c r="V28" i="3"/>
  <c r="AH29" i="17"/>
  <c r="AL32" i="3"/>
  <c r="AD29" i="3"/>
  <c r="F31" i="17"/>
  <c r="F35" i="17"/>
  <c r="F34" i="3"/>
  <c r="R34" i="3"/>
  <c r="AL31" i="17"/>
  <c r="V26" i="17"/>
  <c r="AH32" i="3"/>
  <c r="AP35" i="17"/>
  <c r="AP37" i="17"/>
  <c r="AT29" i="17"/>
  <c r="AP29" i="18"/>
  <c r="R26" i="17"/>
  <c r="AD35" i="17"/>
  <c r="AT35" i="3"/>
  <c r="J33" i="3"/>
  <c r="N37" i="3"/>
  <c r="N27" i="3"/>
  <c r="N29" i="17"/>
  <c r="Z33" i="17"/>
  <c r="AP27" i="3"/>
  <c r="Z31" i="3"/>
  <c r="F25" i="17"/>
  <c r="H25" i="17" s="1"/>
  <c r="AH31" i="3"/>
  <c r="Z30" i="3"/>
  <c r="J30" i="17"/>
  <c r="V26" i="3"/>
  <c r="AH34" i="17"/>
  <c r="AL35" i="3"/>
  <c r="AD36" i="3"/>
  <c r="F33" i="17"/>
  <c r="F36" i="3"/>
  <c r="R36" i="3"/>
  <c r="AL29" i="17"/>
  <c r="V34" i="17"/>
  <c r="AH25" i="3"/>
  <c r="AJ25" i="3" s="1"/>
  <c r="AP34" i="17"/>
  <c r="AT27" i="17"/>
  <c r="AP37" i="18"/>
  <c r="R25" i="17"/>
  <c r="T25" i="17" s="1"/>
  <c r="AD30" i="17"/>
  <c r="AT30" i="3"/>
  <c r="J35" i="3"/>
  <c r="N32" i="3"/>
  <c r="N31" i="17"/>
  <c r="N25" i="17"/>
  <c r="P25" i="17" s="1"/>
  <c r="Z36" i="17"/>
  <c r="AP36" i="3"/>
  <c r="AP37" i="3"/>
  <c r="Z25" i="3"/>
  <c r="AB25" i="3" s="1"/>
  <c r="AD33" i="3"/>
  <c r="AP25" i="18"/>
  <c r="AR25" i="18" s="1"/>
  <c r="J32" i="3"/>
  <c r="J33" i="17"/>
  <c r="V27" i="3"/>
  <c r="AH28" i="17"/>
  <c r="AL29" i="3"/>
  <c r="AD32" i="3"/>
  <c r="F34" i="17"/>
  <c r="F32" i="3"/>
  <c r="F31" i="3"/>
  <c r="R28" i="3"/>
  <c r="AL32" i="17"/>
  <c r="V36" i="17"/>
  <c r="AH36" i="3"/>
  <c r="AP32" i="17"/>
  <c r="AT36" i="17"/>
  <c r="AT28" i="17"/>
  <c r="AP36" i="18"/>
  <c r="R33" i="17"/>
  <c r="AD25" i="17"/>
  <c r="AF25" i="17" s="1"/>
  <c r="AT26" i="3"/>
  <c r="J29" i="3"/>
  <c r="N33" i="3"/>
  <c r="N33" i="17"/>
  <c r="Z30" i="17"/>
  <c r="Z28" i="17"/>
  <c r="AP31" i="3"/>
  <c r="Z33" i="3"/>
  <c r="Z26" i="3"/>
  <c r="AL31" i="3"/>
  <c r="V29" i="17"/>
  <c r="J34" i="17"/>
  <c r="J37" i="17"/>
  <c r="V34" i="3"/>
  <c r="AH35" i="17"/>
  <c r="AL26" i="3"/>
  <c r="AD27" i="3"/>
  <c r="F32" i="17"/>
  <c r="F33" i="3"/>
  <c r="R27" i="3"/>
  <c r="AL28" i="17"/>
  <c r="V35" i="17"/>
  <c r="AH26" i="3"/>
  <c r="AP33" i="17"/>
  <c r="AT30" i="17"/>
  <c r="AP33" i="18"/>
  <c r="AP28" i="18"/>
  <c r="R32" i="17"/>
  <c r="AD32" i="17"/>
  <c r="AT29" i="3"/>
  <c r="J30" i="3"/>
  <c r="N35" i="3"/>
  <c r="N34" i="17"/>
  <c r="Z31" i="17"/>
  <c r="AP32" i="3"/>
  <c r="Z35" i="3"/>
  <c r="R29" i="3"/>
  <c r="J36" i="3"/>
  <c r="J26" i="17"/>
  <c r="V33" i="3"/>
  <c r="V30" i="3"/>
  <c r="AH25" i="17"/>
  <c r="AJ25" i="17" s="1"/>
  <c r="AL25" i="3"/>
  <c r="AN25" i="3" s="1"/>
  <c r="AD26" i="3"/>
  <c r="F28" i="17"/>
  <c r="F35" i="3"/>
  <c r="R37" i="3"/>
  <c r="R31" i="3"/>
  <c r="AL37" i="17"/>
  <c r="V33" i="17"/>
  <c r="AH33" i="3"/>
  <c r="AP31" i="17"/>
  <c r="AT25" i="17"/>
  <c r="AV25" i="17" s="1"/>
  <c r="AP32" i="18"/>
  <c r="R36" i="17"/>
  <c r="R35" i="17"/>
  <c r="AD36" i="17"/>
  <c r="AT25" i="3"/>
  <c r="AV25" i="3" s="1"/>
  <c r="J28" i="3"/>
  <c r="N26" i="3"/>
  <c r="N36" i="17"/>
  <c r="Z32" i="17"/>
  <c r="AP33" i="3"/>
  <c r="Z37" i="3"/>
  <c r="AH27" i="17"/>
  <c r="AP30" i="17"/>
  <c r="AT36" i="3"/>
  <c r="J28" i="17"/>
  <c r="V35" i="3"/>
  <c r="AH33" i="17"/>
  <c r="AH26" i="17"/>
  <c r="AL27" i="3"/>
  <c r="AD28" i="3"/>
  <c r="F27" i="17"/>
  <c r="F30" i="3"/>
  <c r="R32" i="3"/>
  <c r="AL36" i="17"/>
  <c r="AL35" i="17"/>
  <c r="V28" i="17"/>
  <c r="AH29" i="3"/>
  <c r="AP28" i="17"/>
  <c r="AT26" i="17"/>
  <c r="AP26" i="18"/>
  <c r="R34" i="17"/>
  <c r="AD37" i="17"/>
  <c r="AD26" i="17"/>
  <c r="AT27" i="3"/>
  <c r="J27" i="3"/>
  <c r="N25" i="3"/>
  <c r="P25" i="3" s="1"/>
  <c r="N30" i="17"/>
  <c r="Z34" i="17"/>
  <c r="AP25" i="3"/>
  <c r="AR25" i="3" s="1"/>
  <c r="Z36" i="3"/>
  <c r="J25" i="17"/>
  <c r="L25" i="17" s="1"/>
  <c r="V37" i="3"/>
  <c r="AH31" i="17"/>
  <c r="AL28" i="3"/>
  <c r="AD34" i="3"/>
  <c r="F29" i="17"/>
  <c r="F26" i="3"/>
  <c r="R33" i="3"/>
  <c r="AL33" i="17"/>
  <c r="V30" i="17"/>
  <c r="AH28" i="3"/>
  <c r="AP29" i="17"/>
  <c r="AT35" i="17"/>
  <c r="AP30" i="18"/>
  <c r="R27" i="17"/>
  <c r="AD34" i="17"/>
  <c r="AT34" i="3"/>
  <c r="J34" i="3"/>
  <c r="N29" i="3"/>
  <c r="N27" i="17"/>
  <c r="Z37" i="17"/>
  <c r="AP26" i="3"/>
  <c r="Z32" i="3"/>
  <c r="AL26" i="17"/>
  <c r="AD33" i="17"/>
  <c r="Z29" i="17"/>
  <c r="AP35" i="3"/>
  <c r="J27" i="17"/>
  <c r="V36" i="3"/>
  <c r="AH36" i="17"/>
  <c r="AL34" i="3"/>
  <c r="AD31" i="3"/>
  <c r="F37" i="17"/>
  <c r="F37" i="3"/>
  <c r="R35" i="3"/>
  <c r="AL34" i="17"/>
  <c r="V25" i="17"/>
  <c r="X25" i="17" s="1"/>
  <c r="V37" i="17"/>
  <c r="AH34" i="3"/>
  <c r="AP27" i="17"/>
  <c r="AT37" i="17"/>
  <c r="AP35" i="18"/>
  <c r="R29" i="17"/>
  <c r="AD31" i="17"/>
  <c r="AT28" i="3"/>
  <c r="J31" i="3"/>
  <c r="N31" i="3"/>
  <c r="N32" i="17"/>
  <c r="Z27" i="17"/>
  <c r="AP28" i="3"/>
  <c r="Z27" i="3"/>
  <c r="J31" i="17"/>
  <c r="V32" i="3"/>
  <c r="AH37" i="17"/>
  <c r="AL37" i="3"/>
  <c r="AD25" i="3"/>
  <c r="AF25" i="3" s="1"/>
  <c r="F30" i="17"/>
  <c r="F27" i="3"/>
  <c r="R26" i="3"/>
  <c r="AL27" i="17"/>
  <c r="V32" i="17"/>
  <c r="AH27" i="3"/>
  <c r="AP25" i="17"/>
  <c r="AR25" i="17" s="1"/>
  <c r="AT32" i="17"/>
  <c r="AP27" i="18"/>
  <c r="R30" i="17"/>
  <c r="AD28" i="17"/>
  <c r="AT37" i="3"/>
  <c r="J26" i="3"/>
  <c r="N36" i="3"/>
  <c r="N37" i="17"/>
  <c r="Z25" i="17"/>
  <c r="AB25" i="17" s="1"/>
  <c r="AP30" i="3"/>
  <c r="Z34" i="3"/>
  <c r="J35" i="17"/>
  <c r="F29" i="3"/>
  <c r="AT34" i="17"/>
  <c r="N34" i="3"/>
  <c r="J36" i="17"/>
  <c r="V31" i="3"/>
  <c r="AH32" i="17"/>
  <c r="AL36" i="3"/>
  <c r="AD37" i="3"/>
  <c r="F36" i="17"/>
  <c r="F28" i="3"/>
  <c r="R30" i="3"/>
  <c r="AL30" i="17"/>
  <c r="V27" i="17"/>
  <c r="AH37" i="3"/>
  <c r="AH30" i="3"/>
  <c r="AP36" i="17"/>
  <c r="AT33" i="17"/>
  <c r="AP31" i="18"/>
  <c r="R37" i="17"/>
  <c r="AD27" i="17"/>
  <c r="AT32" i="3"/>
  <c r="AT31" i="3"/>
  <c r="J25" i="3"/>
  <c r="L25" i="3" s="1"/>
  <c r="N30" i="3"/>
  <c r="N26" i="17"/>
  <c r="Z35" i="17"/>
  <c r="AP34" i="3"/>
  <c r="Z29" i="3"/>
  <c r="V25" i="3"/>
  <c r="X25" i="3" s="1"/>
  <c r="AD35" i="3"/>
  <c r="J32" i="17"/>
  <c r="V29" i="3"/>
  <c r="AH30" i="17"/>
  <c r="AL33" i="3"/>
  <c r="AL30" i="3"/>
  <c r="AD30" i="3"/>
  <c r="F26" i="17"/>
  <c r="F25" i="3"/>
  <c r="H25" i="3" s="1"/>
  <c r="R25" i="3"/>
  <c r="T25" i="3" s="1"/>
  <c r="AL25" i="17"/>
  <c r="AN25" i="17" s="1"/>
  <c r="V31" i="17"/>
  <c r="AH35" i="3"/>
  <c r="AP26" i="17"/>
  <c r="AT31" i="17"/>
  <c r="AP34" i="18"/>
  <c r="R31" i="17"/>
  <c r="AD29" i="17"/>
  <c r="AT33" i="3"/>
  <c r="J37" i="3"/>
  <c r="N28" i="3"/>
  <c r="N35" i="17"/>
  <c r="Z26" i="17"/>
  <c r="AP29" i="3"/>
  <c r="Z28" i="3"/>
  <c r="R28" i="17"/>
  <c r="N28" i="17"/>
  <c r="AH26" i="15"/>
  <c r="V32" i="18"/>
  <c r="AT28" i="15"/>
  <c r="N35" i="18"/>
  <c r="AD32" i="15"/>
  <c r="N37" i="16"/>
  <c r="AT33" i="18"/>
  <c r="AH30" i="18"/>
  <c r="AP25" i="15"/>
  <c r="AR25" i="15" s="1"/>
  <c r="N33" i="15"/>
  <c r="B35" i="15"/>
  <c r="AH26" i="16"/>
  <c r="AD26" i="18"/>
  <c r="Z30" i="18"/>
  <c r="AL26" i="15"/>
  <c r="AD29" i="16"/>
  <c r="V31" i="16"/>
  <c r="B33" i="16"/>
  <c r="Z37" i="16"/>
  <c r="Z35" i="16"/>
  <c r="V33" i="15"/>
  <c r="J32" i="15"/>
  <c r="AL36" i="16"/>
  <c r="AP33" i="16"/>
  <c r="R29" i="18"/>
  <c r="AT37" i="19"/>
  <c r="AT27" i="16"/>
  <c r="F32" i="18"/>
  <c r="J27" i="18"/>
  <c r="R36" i="16"/>
  <c r="B25" i="18"/>
  <c r="D25" i="18" s="1"/>
  <c r="B30" i="18"/>
  <c r="J26" i="16"/>
  <c r="F27" i="16"/>
  <c r="AL37" i="18"/>
  <c r="R25" i="15"/>
  <c r="T25" i="15" s="1"/>
  <c r="Z29" i="15"/>
  <c r="F29" i="15"/>
  <c r="J37" i="15"/>
  <c r="AP30" i="15"/>
  <c r="B35" i="18"/>
  <c r="F32" i="15"/>
  <c r="AH29" i="15"/>
  <c r="V29" i="18"/>
  <c r="AT34" i="15"/>
  <c r="N25" i="18"/>
  <c r="P25" i="18" s="1"/>
  <c r="AD31" i="15"/>
  <c r="N34" i="16"/>
  <c r="AT37" i="18"/>
  <c r="AH27" i="18"/>
  <c r="AP33" i="15"/>
  <c r="N26" i="15"/>
  <c r="B36" i="15"/>
  <c r="AH36" i="16"/>
  <c r="AD33" i="18"/>
  <c r="Z36" i="18"/>
  <c r="AL35" i="15"/>
  <c r="AD28" i="16"/>
  <c r="V29" i="16"/>
  <c r="B30" i="16"/>
  <c r="Z34" i="16"/>
  <c r="V28" i="15"/>
  <c r="J35" i="15"/>
  <c r="AL35" i="16"/>
  <c r="AP32" i="16"/>
  <c r="R25" i="18"/>
  <c r="T25" i="18" s="1"/>
  <c r="AT25" i="19"/>
  <c r="AV25" i="19" s="1"/>
  <c r="AT33" i="19"/>
  <c r="AT36" i="16"/>
  <c r="F27" i="18"/>
  <c r="J29" i="18"/>
  <c r="R35" i="16"/>
  <c r="B32" i="18"/>
  <c r="J32" i="16"/>
  <c r="J27" i="16"/>
  <c r="F37" i="16"/>
  <c r="AL36" i="18"/>
  <c r="R28" i="15"/>
  <c r="Z27" i="15"/>
  <c r="F33" i="15"/>
  <c r="AT37" i="15"/>
  <c r="AD25" i="15"/>
  <c r="AF25" i="15" s="1"/>
  <c r="V32" i="16"/>
  <c r="R32" i="15"/>
  <c r="AH27" i="15"/>
  <c r="V36" i="18"/>
  <c r="AT36" i="15"/>
  <c r="N26" i="18"/>
  <c r="AD26" i="15"/>
  <c r="N32" i="16"/>
  <c r="AT34" i="18"/>
  <c r="AH34" i="18"/>
  <c r="AP32" i="15"/>
  <c r="N30" i="15"/>
  <c r="B32" i="15"/>
  <c r="AH35" i="16"/>
  <c r="AD35" i="18"/>
  <c r="Z29" i="18"/>
  <c r="AL32" i="15"/>
  <c r="AD27" i="16"/>
  <c r="V28" i="16"/>
  <c r="B27" i="16"/>
  <c r="Z32" i="16"/>
  <c r="V29" i="15"/>
  <c r="J25" i="15"/>
  <c r="L25" i="15" s="1"/>
  <c r="AL33" i="16"/>
  <c r="AP29" i="16"/>
  <c r="R33" i="18"/>
  <c r="AT29" i="19"/>
  <c r="AT33" i="16"/>
  <c r="F26" i="18"/>
  <c r="J35" i="18"/>
  <c r="R30" i="16"/>
  <c r="B26" i="18"/>
  <c r="J28" i="16"/>
  <c r="F31" i="16"/>
  <c r="AL31" i="18"/>
  <c r="R31" i="15"/>
  <c r="Z31" i="15"/>
  <c r="F27" i="15"/>
  <c r="AL37" i="15"/>
  <c r="AD27" i="18"/>
  <c r="Z30" i="16"/>
  <c r="AP25" i="16"/>
  <c r="AR25" i="16" s="1"/>
  <c r="AD37" i="15"/>
  <c r="AH30" i="15"/>
  <c r="V26" i="18"/>
  <c r="V33" i="18"/>
  <c r="AT32" i="15"/>
  <c r="N32" i="18"/>
  <c r="AD28" i="15"/>
  <c r="N31" i="16"/>
  <c r="AT32" i="18"/>
  <c r="AH28" i="18"/>
  <c r="AP28" i="15"/>
  <c r="N29" i="15"/>
  <c r="B25" i="15"/>
  <c r="D25" i="15" s="1"/>
  <c r="AH33" i="16"/>
  <c r="AD29" i="18"/>
  <c r="Z33" i="18"/>
  <c r="AL28" i="15"/>
  <c r="AD26" i="16"/>
  <c r="V27" i="16"/>
  <c r="B35" i="16"/>
  <c r="Z31" i="16"/>
  <c r="V25" i="15"/>
  <c r="X25" i="15" s="1"/>
  <c r="J26" i="15"/>
  <c r="AL30" i="16"/>
  <c r="AP26" i="16"/>
  <c r="R27" i="18"/>
  <c r="AT28" i="19"/>
  <c r="AT32" i="16"/>
  <c r="AT30" i="16"/>
  <c r="F37" i="18"/>
  <c r="J30" i="18"/>
  <c r="R25" i="16"/>
  <c r="T25" i="16" s="1"/>
  <c r="B33" i="18"/>
  <c r="J36" i="16"/>
  <c r="F28" i="16"/>
  <c r="AL28" i="18"/>
  <c r="R36" i="15"/>
  <c r="Z25" i="15"/>
  <c r="AB25" i="15" s="1"/>
  <c r="F30" i="15"/>
  <c r="V37" i="15"/>
  <c r="AH32" i="15"/>
  <c r="V25" i="18"/>
  <c r="X25" i="18" s="1"/>
  <c r="AT25" i="15"/>
  <c r="AV25" i="15" s="1"/>
  <c r="N29" i="18"/>
  <c r="AD35" i="15"/>
  <c r="N29" i="16"/>
  <c r="AT29" i="18"/>
  <c r="AH36" i="18"/>
  <c r="AP29" i="15"/>
  <c r="N27" i="15"/>
  <c r="B34" i="15"/>
  <c r="AH30" i="16"/>
  <c r="AD36" i="18"/>
  <c r="Z37" i="18"/>
  <c r="AL36" i="15"/>
  <c r="AD33" i="16"/>
  <c r="V26" i="16"/>
  <c r="B32" i="16"/>
  <c r="Z29" i="16"/>
  <c r="V34" i="15"/>
  <c r="J33" i="15"/>
  <c r="AL37" i="16"/>
  <c r="AL25" i="16"/>
  <c r="AN25" i="16" s="1"/>
  <c r="AP37" i="16"/>
  <c r="R36" i="18"/>
  <c r="AT27" i="19"/>
  <c r="AT29" i="16"/>
  <c r="F29" i="18"/>
  <c r="J37" i="18"/>
  <c r="R37" i="16"/>
  <c r="B37" i="18"/>
  <c r="J35" i="16"/>
  <c r="F30" i="16"/>
  <c r="F34" i="16"/>
  <c r="AL32" i="18"/>
  <c r="R34" i="15"/>
  <c r="Z34" i="15"/>
  <c r="F31" i="15"/>
  <c r="R37" i="15"/>
  <c r="AH28" i="16"/>
  <c r="B36" i="16"/>
  <c r="R26" i="18"/>
  <c r="J34" i="18"/>
  <c r="AL29" i="18"/>
  <c r="AH33" i="15"/>
  <c r="V27" i="18"/>
  <c r="AT27" i="15"/>
  <c r="N30" i="18"/>
  <c r="N37" i="18"/>
  <c r="AD29" i="15"/>
  <c r="N28" i="16"/>
  <c r="AT30" i="18"/>
  <c r="AH26" i="18"/>
  <c r="AP31" i="15"/>
  <c r="N25" i="15"/>
  <c r="P25" i="15" s="1"/>
  <c r="B29" i="15"/>
  <c r="AH34" i="16"/>
  <c r="AH25" i="16"/>
  <c r="AJ25" i="16" s="1"/>
  <c r="AD30" i="18"/>
  <c r="Z26" i="18"/>
  <c r="AL33" i="15"/>
  <c r="AD25" i="16"/>
  <c r="AF25" i="16" s="1"/>
  <c r="V25" i="16"/>
  <c r="X25" i="16" s="1"/>
  <c r="B29" i="16"/>
  <c r="Z28" i="16"/>
  <c r="V35" i="15"/>
  <c r="J30" i="15"/>
  <c r="AL34" i="16"/>
  <c r="AP34" i="16"/>
  <c r="R28" i="18"/>
  <c r="AT32" i="19"/>
  <c r="AT26" i="16"/>
  <c r="F35" i="18"/>
  <c r="J32" i="18"/>
  <c r="R34" i="16"/>
  <c r="B31" i="18"/>
  <c r="J33" i="16"/>
  <c r="F25" i="16"/>
  <c r="H25" i="16" s="1"/>
  <c r="AL26" i="18"/>
  <c r="AL34" i="18"/>
  <c r="R33" i="15"/>
  <c r="Z36" i="15"/>
  <c r="F25" i="15"/>
  <c r="H25" i="15" s="1"/>
  <c r="F37" i="15"/>
  <c r="N33" i="18"/>
  <c r="F26" i="16"/>
  <c r="AH31" i="15"/>
  <c r="V30" i="18"/>
  <c r="AT29" i="15"/>
  <c r="N36" i="18"/>
  <c r="AD33" i="15"/>
  <c r="N27" i="16"/>
  <c r="AT31" i="18"/>
  <c r="AH37" i="18"/>
  <c r="AP27" i="15"/>
  <c r="N28" i="15"/>
  <c r="B27" i="15"/>
  <c r="AH31" i="16"/>
  <c r="AD25" i="18"/>
  <c r="AF25" i="18" s="1"/>
  <c r="AD32" i="18"/>
  <c r="Z34" i="18"/>
  <c r="AL31" i="15"/>
  <c r="AD35" i="16"/>
  <c r="V36" i="16"/>
  <c r="B26" i="16"/>
  <c r="Z27" i="16"/>
  <c r="V31" i="15"/>
  <c r="J27" i="15"/>
  <c r="AL32" i="16"/>
  <c r="AP31" i="16"/>
  <c r="R30" i="18"/>
  <c r="AT30" i="19"/>
  <c r="AT35" i="16"/>
  <c r="F28" i="18"/>
  <c r="F36" i="18"/>
  <c r="J36" i="18"/>
  <c r="R32" i="16"/>
  <c r="B29" i="18"/>
  <c r="J30" i="16"/>
  <c r="F36" i="16"/>
  <c r="AL33" i="18"/>
  <c r="R35" i="15"/>
  <c r="Z26" i="15"/>
  <c r="F28" i="15"/>
  <c r="AH37" i="15"/>
  <c r="AH25" i="15"/>
  <c r="AJ25" i="15" s="1"/>
  <c r="AH31" i="18"/>
  <c r="B33" i="15"/>
  <c r="V32" i="15"/>
  <c r="R34" i="18"/>
  <c r="R33" i="16"/>
  <c r="AH35" i="15"/>
  <c r="V34" i="18"/>
  <c r="AT26" i="15"/>
  <c r="N31" i="18"/>
  <c r="AD27" i="15"/>
  <c r="N36" i="16"/>
  <c r="N26" i="16"/>
  <c r="AT35" i="18"/>
  <c r="AH29" i="18"/>
  <c r="AP35" i="15"/>
  <c r="N31" i="15"/>
  <c r="B31" i="15"/>
  <c r="AH29" i="16"/>
  <c r="AD37" i="18"/>
  <c r="Z32" i="18"/>
  <c r="Z35" i="18"/>
  <c r="AL34" i="15"/>
  <c r="AD30" i="16"/>
  <c r="V33" i="16"/>
  <c r="B37" i="16"/>
  <c r="Z26" i="16"/>
  <c r="V26" i="15"/>
  <c r="J36" i="15"/>
  <c r="AL31" i="16"/>
  <c r="AP28" i="16"/>
  <c r="R31" i="18"/>
  <c r="AT31" i="19"/>
  <c r="AT37" i="16"/>
  <c r="F30" i="18"/>
  <c r="J28" i="18"/>
  <c r="J33" i="18"/>
  <c r="R31" i="16"/>
  <c r="B28" i="18"/>
  <c r="J25" i="16"/>
  <c r="L25" i="16" s="1"/>
  <c r="F35" i="16"/>
  <c r="AL30" i="18"/>
  <c r="R26" i="15"/>
  <c r="Z32" i="15"/>
  <c r="F34" i="15"/>
  <c r="N37" i="15"/>
  <c r="V35" i="18"/>
  <c r="AD31" i="16"/>
  <c r="AL26" i="16"/>
  <c r="F25" i="18"/>
  <c r="H25" i="18" s="1"/>
  <c r="AH36" i="15"/>
  <c r="V31" i="18"/>
  <c r="AT33" i="15"/>
  <c r="N28" i="18"/>
  <c r="AD36" i="15"/>
  <c r="N35" i="16"/>
  <c r="AT26" i="18"/>
  <c r="AT36" i="18"/>
  <c r="AH35" i="18"/>
  <c r="AP26" i="15"/>
  <c r="N36" i="15"/>
  <c r="B26" i="15"/>
  <c r="AH27" i="16"/>
  <c r="AD31" i="18"/>
  <c r="Z25" i="18"/>
  <c r="AB25" i="18" s="1"/>
  <c r="AL29" i="15"/>
  <c r="AD37" i="16"/>
  <c r="AD36" i="16"/>
  <c r="V30" i="16"/>
  <c r="B34" i="16"/>
  <c r="Z25" i="16"/>
  <c r="AB25" i="16" s="1"/>
  <c r="V30" i="15"/>
  <c r="J31" i="15"/>
  <c r="AL29" i="16"/>
  <c r="AP36" i="16"/>
  <c r="AP27" i="16"/>
  <c r="R35" i="18"/>
  <c r="AT35" i="19"/>
  <c r="AT31" i="16"/>
  <c r="F34" i="18"/>
  <c r="J26" i="18"/>
  <c r="R29" i="16"/>
  <c r="B27" i="18"/>
  <c r="J37" i="16"/>
  <c r="F33" i="16"/>
  <c r="AL27" i="18"/>
  <c r="R30" i="15"/>
  <c r="Z28" i="15"/>
  <c r="F35" i="15"/>
  <c r="AP37" i="15"/>
  <c r="AT35" i="15"/>
  <c r="N25" i="16"/>
  <c r="P25" i="16" s="1"/>
  <c r="Z31" i="18"/>
  <c r="J28" i="15"/>
  <c r="AT34" i="19"/>
  <c r="J29" i="16"/>
  <c r="Z30" i="15"/>
  <c r="AH28" i="15"/>
  <c r="V28" i="18"/>
  <c r="AT30" i="15"/>
  <c r="N34" i="18"/>
  <c r="AD30" i="15"/>
  <c r="N33" i="16"/>
  <c r="AT27" i="18"/>
  <c r="AH25" i="18"/>
  <c r="AJ25" i="18" s="1"/>
  <c r="AH32" i="18"/>
  <c r="AP36" i="15"/>
  <c r="N34" i="15"/>
  <c r="B30" i="15"/>
  <c r="AH37" i="16"/>
  <c r="AD34" i="18"/>
  <c r="Z28" i="18"/>
  <c r="AL27" i="15"/>
  <c r="AD34" i="16"/>
  <c r="V37" i="16"/>
  <c r="V35" i="16"/>
  <c r="B31" i="16"/>
  <c r="Z36" i="16"/>
  <c r="V27" i="15"/>
  <c r="J29" i="15"/>
  <c r="AL28" i="16"/>
  <c r="AP35" i="16"/>
  <c r="R37" i="18"/>
  <c r="AT36" i="19"/>
  <c r="AT34" i="16"/>
  <c r="F33" i="18"/>
  <c r="J25" i="18"/>
  <c r="L25" i="18" s="1"/>
  <c r="R28" i="16"/>
  <c r="B34" i="18"/>
  <c r="J34" i="16"/>
  <c r="F32" i="16"/>
  <c r="AL25" i="18"/>
  <c r="AN25" i="18" s="1"/>
  <c r="R29" i="15"/>
  <c r="Z35" i="15"/>
  <c r="F26" i="15"/>
  <c r="B37" i="15"/>
  <c r="N35" i="15"/>
  <c r="B28" i="16"/>
  <c r="AH34" i="15"/>
  <c r="V37" i="18"/>
  <c r="AT31" i="15"/>
  <c r="N27" i="18"/>
  <c r="AD34" i="15"/>
  <c r="N30" i="16"/>
  <c r="AT28" i="18"/>
  <c r="AH33" i="18"/>
  <c r="AP34" i="15"/>
  <c r="N32" i="15"/>
  <c r="B28" i="15"/>
  <c r="AH32" i="16"/>
  <c r="AD28" i="18"/>
  <c r="Z27" i="18"/>
  <c r="AL30" i="15"/>
  <c r="AD32" i="16"/>
  <c r="V34" i="16"/>
  <c r="B25" i="16"/>
  <c r="D25" i="16" s="1"/>
  <c r="Z33" i="16"/>
  <c r="V36" i="15"/>
  <c r="J34" i="15"/>
  <c r="AL27" i="16"/>
  <c r="AP30" i="16"/>
  <c r="R32" i="18"/>
  <c r="AT26" i="19"/>
  <c r="AT28" i="16"/>
  <c r="F31" i="18"/>
  <c r="J31" i="18"/>
  <c r="R27" i="16"/>
  <c r="B36" i="18"/>
  <c r="J31" i="16"/>
  <c r="F29" i="16"/>
  <c r="AL35" i="18"/>
  <c r="R27" i="15"/>
  <c r="Z33" i="15"/>
  <c r="F36" i="15"/>
  <c r="Z37" i="15"/>
  <c r="AT25" i="18"/>
  <c r="AV25" i="18" s="1"/>
  <c r="AL25" i="15"/>
  <c r="AN25" i="15" s="1"/>
  <c r="AT25" i="16"/>
  <c r="AV25" i="16" s="1"/>
  <c r="R26" i="16"/>
  <c r="AH37" i="19"/>
  <c r="AH35" i="19"/>
  <c r="AD35" i="19"/>
  <c r="B30" i="19"/>
  <c r="N29" i="19"/>
  <c r="V37" i="19"/>
  <c r="AL30" i="19"/>
  <c r="Z26" i="19"/>
  <c r="R30" i="19"/>
  <c r="F31" i="19"/>
  <c r="AP34" i="19"/>
  <c r="J37" i="19"/>
  <c r="J25" i="19"/>
  <c r="L25" i="19" s="1"/>
  <c r="AH30" i="19"/>
  <c r="AD37" i="19"/>
  <c r="AD36" i="19"/>
  <c r="B31" i="19"/>
  <c r="N25" i="19"/>
  <c r="P25" i="19" s="1"/>
  <c r="V33" i="19"/>
  <c r="AL37" i="19"/>
  <c r="Z33" i="19"/>
  <c r="R31" i="19"/>
  <c r="F33" i="19"/>
  <c r="AP36" i="19"/>
  <c r="J27" i="19"/>
  <c r="AD33" i="19"/>
  <c r="AH27" i="19"/>
  <c r="AD28" i="19"/>
  <c r="B33" i="19"/>
  <c r="B32" i="19"/>
  <c r="N32" i="19"/>
  <c r="V31" i="19"/>
  <c r="AL29" i="19"/>
  <c r="Z36" i="19"/>
  <c r="R34" i="19"/>
  <c r="F34" i="19"/>
  <c r="AP29" i="19"/>
  <c r="J28" i="19"/>
  <c r="V28" i="19"/>
  <c r="AH28" i="19"/>
  <c r="AD31" i="19"/>
  <c r="B35" i="19"/>
  <c r="N30" i="19"/>
  <c r="N35" i="19"/>
  <c r="V26" i="19"/>
  <c r="AL31" i="19"/>
  <c r="Z32" i="19"/>
  <c r="R36" i="19"/>
  <c r="F26" i="19"/>
  <c r="AP28" i="19"/>
  <c r="J31" i="19"/>
  <c r="F28" i="19"/>
  <c r="AH31" i="19"/>
  <c r="AD25" i="19"/>
  <c r="AF25" i="19" s="1"/>
  <c r="B25" i="19"/>
  <c r="D25" i="19" s="1"/>
  <c r="N37" i="19"/>
  <c r="V27" i="19"/>
  <c r="V30" i="19"/>
  <c r="AL35" i="19"/>
  <c r="Z30" i="19"/>
  <c r="R37" i="19"/>
  <c r="F29" i="19"/>
  <c r="AP27" i="19"/>
  <c r="J34" i="19"/>
  <c r="N26" i="19"/>
  <c r="AH25" i="19"/>
  <c r="AJ25" i="19" s="1"/>
  <c r="AD34" i="19"/>
  <c r="B27" i="19"/>
  <c r="N27" i="19"/>
  <c r="V34" i="19"/>
  <c r="AL28" i="19"/>
  <c r="AL32" i="19"/>
  <c r="Z37" i="19"/>
  <c r="R32" i="19"/>
  <c r="F35" i="19"/>
  <c r="AP32" i="19"/>
  <c r="J26" i="19"/>
  <c r="AP33" i="19"/>
  <c r="AH33" i="19"/>
  <c r="AD26" i="19"/>
  <c r="B29" i="19"/>
  <c r="N28" i="19"/>
  <c r="V35" i="19"/>
  <c r="AL33" i="19"/>
  <c r="Z27" i="19"/>
  <c r="Z34" i="19"/>
  <c r="R26" i="19"/>
  <c r="F36" i="19"/>
  <c r="AP26" i="19"/>
  <c r="J29" i="19"/>
  <c r="B36" i="19"/>
  <c r="AH34" i="19"/>
  <c r="AD29" i="19"/>
  <c r="B26" i="19"/>
  <c r="N31" i="19"/>
  <c r="V36" i="19"/>
  <c r="AL25" i="19"/>
  <c r="AN25" i="19" s="1"/>
  <c r="Z28" i="19"/>
  <c r="R27" i="19"/>
  <c r="R35" i="19"/>
  <c r="F37" i="19"/>
  <c r="AP31" i="19"/>
  <c r="J35" i="19"/>
  <c r="AL27" i="19"/>
  <c r="AH32" i="19"/>
  <c r="AD32" i="19"/>
  <c r="B37" i="19"/>
  <c r="N34" i="19"/>
  <c r="V32" i="19"/>
  <c r="AL34" i="19"/>
  <c r="Z31" i="19"/>
  <c r="R28" i="19"/>
  <c r="F32" i="19"/>
  <c r="AP37" i="19"/>
  <c r="J32" i="19"/>
  <c r="AH29" i="19"/>
  <c r="AH36" i="19"/>
  <c r="AD30" i="19"/>
  <c r="B28" i="19"/>
  <c r="N36" i="19"/>
  <c r="V25" i="19"/>
  <c r="X25" i="19" s="1"/>
  <c r="AL36" i="19"/>
  <c r="Z29" i="19"/>
  <c r="R29" i="19"/>
  <c r="F25" i="19"/>
  <c r="H25" i="19" s="1"/>
  <c r="F30" i="19"/>
  <c r="AP25" i="19"/>
  <c r="AR25" i="19" s="1"/>
  <c r="J30" i="19"/>
  <c r="R25" i="19"/>
  <c r="T25" i="19" s="1"/>
  <c r="J36" i="19"/>
  <c r="AH26" i="19"/>
  <c r="AD27" i="19"/>
  <c r="B34" i="19"/>
  <c r="N33" i="19"/>
  <c r="V29" i="19"/>
  <c r="AL26" i="19"/>
  <c r="Z25" i="19"/>
  <c r="AB25" i="19" s="1"/>
  <c r="R33" i="19"/>
  <c r="F27" i="19"/>
  <c r="AP35" i="19"/>
  <c r="AP30" i="19"/>
  <c r="J33" i="19"/>
  <c r="Z35" i="19"/>
  <c r="AT68" i="16"/>
  <c r="AV68" i="16" s="1"/>
  <c r="R68" i="16"/>
  <c r="T68" i="16" s="1"/>
  <c r="J20" i="16"/>
  <c r="AD20" i="16"/>
  <c r="Z20" i="16"/>
  <c r="AL20" i="16"/>
  <c r="R20" i="16"/>
  <c r="Z68" i="16"/>
  <c r="AB68" i="16" s="1"/>
  <c r="V20" i="16"/>
  <c r="AD68" i="16"/>
  <c r="AF68" i="16" s="1"/>
  <c r="G85" i="2"/>
  <c r="N68" i="18"/>
  <c r="P68" i="18" s="1"/>
  <c r="F69" i="18"/>
  <c r="H69" i="18" s="1"/>
  <c r="V21" i="18"/>
  <c r="AH21" i="16"/>
  <c r="AH69" i="16"/>
  <c r="AJ69" i="16" s="1"/>
  <c r="AL21" i="16"/>
  <c r="AL69" i="18"/>
  <c r="AN69" i="18" s="1"/>
  <c r="F21" i="18"/>
  <c r="AH68" i="16"/>
  <c r="AJ68" i="16" s="1"/>
  <c r="AP21" i="18"/>
  <c r="AL69" i="16"/>
  <c r="AN69" i="16" s="1"/>
  <c r="AT69" i="16"/>
  <c r="AV69" i="16" s="1"/>
  <c r="AP21" i="16"/>
  <c r="J68" i="16"/>
  <c r="L68" i="16" s="1"/>
  <c r="F69" i="19"/>
  <c r="H69" i="19" s="1"/>
  <c r="AT21" i="19"/>
  <c r="Z21" i="19"/>
  <c r="AD68" i="15"/>
  <c r="AF68" i="15" s="1"/>
  <c r="V21" i="19"/>
  <c r="N68" i="15"/>
  <c r="P68" i="15" s="1"/>
  <c r="AP21" i="19"/>
  <c r="R69" i="19"/>
  <c r="T69" i="19" s="1"/>
  <c r="B69" i="16"/>
  <c r="D69" i="16" s="1"/>
  <c r="R69" i="16"/>
  <c r="T69" i="16" s="1"/>
  <c r="AP69" i="16"/>
  <c r="AR69" i="16" s="1"/>
  <c r="J21" i="16"/>
  <c r="Z21" i="16"/>
  <c r="R20" i="15"/>
  <c r="Z69" i="16"/>
  <c r="AB69" i="16" s="1"/>
  <c r="N21" i="16"/>
  <c r="AD21" i="19"/>
  <c r="B21" i="19"/>
  <c r="AL21" i="19"/>
  <c r="AP20" i="16"/>
  <c r="N69" i="16"/>
  <c r="P69" i="16" s="1"/>
  <c r="N21" i="19"/>
  <c r="AD21" i="16"/>
  <c r="AP69" i="18"/>
  <c r="AR69" i="18" s="1"/>
  <c r="AD69" i="19"/>
  <c r="AF69" i="19" s="1"/>
  <c r="N68" i="16"/>
  <c r="P68" i="16" s="1"/>
  <c r="J69" i="16"/>
  <c r="L69" i="16" s="1"/>
  <c r="R20" i="18"/>
  <c r="B21" i="16"/>
  <c r="R21" i="19"/>
  <c r="F20" i="16"/>
  <c r="B69" i="19"/>
  <c r="D69" i="19" s="1"/>
  <c r="AT21" i="16"/>
  <c r="AH21" i="19"/>
  <c r="V69" i="19"/>
  <c r="X69" i="19" s="1"/>
  <c r="AH69" i="19"/>
  <c r="AJ69" i="19" s="1"/>
  <c r="Z69" i="19"/>
  <c r="AB69" i="19" s="1"/>
  <c r="AD21" i="18"/>
  <c r="F69" i="16"/>
  <c r="H69" i="16" s="1"/>
  <c r="AL69" i="19"/>
  <c r="AN69" i="19" s="1"/>
  <c r="B21" i="18"/>
  <c r="V68" i="18"/>
  <c r="X68" i="18" s="1"/>
  <c r="V69" i="16"/>
  <c r="X69" i="16" s="1"/>
  <c r="V21" i="16"/>
  <c r="F21" i="16"/>
  <c r="AT68" i="15"/>
  <c r="AV68" i="15" s="1"/>
  <c r="F68" i="16"/>
  <c r="H68" i="16" s="1"/>
  <c r="AH20" i="16"/>
  <c r="J69" i="19"/>
  <c r="L69" i="19" s="1"/>
  <c r="AP68" i="16"/>
  <c r="AR68" i="16" s="1"/>
  <c r="J68" i="18"/>
  <c r="L68" i="18" s="1"/>
  <c r="V68" i="16"/>
  <c r="X68" i="16" s="1"/>
  <c r="AT69" i="19"/>
  <c r="AV69" i="19" s="1"/>
  <c r="AT20" i="16"/>
  <c r="N69" i="18"/>
  <c r="P69" i="18" s="1"/>
  <c r="J21" i="15"/>
  <c r="V68" i="15"/>
  <c r="X68" i="15" s="1"/>
  <c r="V20" i="15"/>
  <c r="AL20" i="15"/>
  <c r="AD20" i="15"/>
  <c r="V69" i="15"/>
  <c r="X69" i="15" s="1"/>
  <c r="J68" i="15"/>
  <c r="L68" i="15" s="1"/>
  <c r="J21" i="19"/>
  <c r="AP69" i="19"/>
  <c r="AR69" i="19" s="1"/>
  <c r="N20" i="16"/>
  <c r="AT21" i="18"/>
  <c r="R68" i="15"/>
  <c r="T68" i="15" s="1"/>
  <c r="AD68" i="19"/>
  <c r="AF68" i="19" s="1"/>
  <c r="R20" i="19"/>
  <c r="AD20" i="19"/>
  <c r="R21" i="16"/>
  <c r="F21" i="19"/>
  <c r="F21" i="15"/>
  <c r="AL21" i="18"/>
  <c r="B69" i="15"/>
  <c r="D69" i="15" s="1"/>
  <c r="N21" i="18"/>
  <c r="Z69" i="18"/>
  <c r="AB69" i="18" s="1"/>
  <c r="AD69" i="15"/>
  <c r="AF69" i="15" s="1"/>
  <c r="V21" i="15"/>
  <c r="F85" i="2"/>
  <c r="AH69" i="15"/>
  <c r="AJ69" i="15" s="1"/>
  <c r="R68" i="17"/>
  <c r="T68" i="17" s="1"/>
  <c r="R20" i="17"/>
  <c r="V21" i="17"/>
  <c r="AD20" i="17"/>
  <c r="AL68" i="17"/>
  <c r="AN68" i="17" s="1"/>
  <c r="V20" i="17"/>
  <c r="R69" i="18"/>
  <c r="T69" i="18" s="1"/>
  <c r="F68" i="17"/>
  <c r="H68" i="17" s="1"/>
  <c r="Z68" i="17"/>
  <c r="AB68" i="17" s="1"/>
  <c r="AT68" i="17"/>
  <c r="AV68" i="17" s="1"/>
  <c r="AH69" i="18"/>
  <c r="AJ69" i="18" s="1"/>
  <c r="AT69" i="18"/>
  <c r="AV69" i="18" s="1"/>
  <c r="AH20" i="17"/>
  <c r="N68" i="17"/>
  <c r="P68" i="17" s="1"/>
  <c r="Z21" i="18"/>
  <c r="AD68" i="17"/>
  <c r="AF68" i="17" s="1"/>
  <c r="J21" i="18"/>
  <c r="J20" i="17"/>
  <c r="Z20" i="17"/>
  <c r="AD69" i="18"/>
  <c r="AF69" i="18" s="1"/>
  <c r="AH21" i="18"/>
  <c r="J68" i="17"/>
  <c r="L68" i="17" s="1"/>
  <c r="J69" i="18"/>
  <c r="L69" i="18" s="1"/>
  <c r="AL20" i="17"/>
  <c r="N20" i="17"/>
  <c r="V68" i="17"/>
  <c r="X68" i="17" s="1"/>
  <c r="AH68" i="17"/>
  <c r="AJ68" i="17" s="1"/>
  <c r="AT20" i="17"/>
  <c r="R21" i="18"/>
  <c r="AH69" i="17"/>
  <c r="AJ69" i="17" s="1"/>
  <c r="F20" i="17"/>
  <c r="AP20" i="17"/>
  <c r="AP69" i="15"/>
  <c r="AR69" i="15" s="1"/>
  <c r="Z20" i="15"/>
  <c r="N21" i="15"/>
  <c r="AT69" i="15"/>
  <c r="AV69" i="15" s="1"/>
  <c r="Z68" i="15"/>
  <c r="AB68" i="15" s="1"/>
  <c r="AH20" i="15"/>
  <c r="F69" i="15"/>
  <c r="H69" i="15" s="1"/>
  <c r="AH21" i="15"/>
  <c r="B21" i="15"/>
  <c r="R69" i="15"/>
  <c r="T69" i="15" s="1"/>
  <c r="J20" i="15"/>
  <c r="N69" i="15"/>
  <c r="P69" i="15" s="1"/>
  <c r="AL68" i="15"/>
  <c r="AN68" i="15" s="1"/>
  <c r="AD21" i="15"/>
  <c r="AP20" i="15"/>
  <c r="AL69" i="15"/>
  <c r="AN69" i="15" s="1"/>
  <c r="AP68" i="15"/>
  <c r="AR68" i="15" s="1"/>
  <c r="AT20" i="15"/>
  <c r="Z69" i="15"/>
  <c r="AB69" i="15" s="1"/>
  <c r="Z21" i="15"/>
  <c r="AL21" i="15"/>
  <c r="R21" i="15"/>
  <c r="N20" i="15"/>
  <c r="AP21" i="15"/>
  <c r="F68" i="15"/>
  <c r="H68" i="15" s="1"/>
  <c r="F20" i="15"/>
  <c r="AT21" i="15"/>
  <c r="D78" i="20"/>
  <c r="AD69" i="17"/>
  <c r="AF69" i="17" s="1"/>
  <c r="F68" i="18"/>
  <c r="H68" i="18" s="1"/>
  <c r="AP21" i="17"/>
  <c r="AD21" i="17"/>
  <c r="AL69" i="17"/>
  <c r="AN69" i="17" s="1"/>
  <c r="F20" i="18"/>
  <c r="AL68" i="18"/>
  <c r="AN68" i="18" s="1"/>
  <c r="AD20" i="18"/>
  <c r="J21" i="17"/>
  <c r="R21" i="17"/>
  <c r="B21" i="17"/>
  <c r="F21" i="17"/>
  <c r="Z20" i="18"/>
  <c r="J69" i="17"/>
  <c r="L69" i="17" s="1"/>
  <c r="Z21" i="17"/>
  <c r="N21" i="17"/>
  <c r="AT69" i="17"/>
  <c r="AV69" i="17" s="1"/>
  <c r="R68" i="18"/>
  <c r="T68" i="18" s="1"/>
  <c r="AP68" i="18"/>
  <c r="AR68" i="18" s="1"/>
  <c r="AH68" i="18"/>
  <c r="AJ68" i="18" s="1"/>
  <c r="V20" i="18"/>
  <c r="Z69" i="17"/>
  <c r="AB69" i="17" s="1"/>
  <c r="N69" i="17"/>
  <c r="P69" i="17" s="1"/>
  <c r="J20" i="18"/>
  <c r="AL20" i="18"/>
  <c r="R69" i="17"/>
  <c r="T69" i="17" s="1"/>
  <c r="AL21" i="17"/>
  <c r="V69" i="17"/>
  <c r="X69" i="17" s="1"/>
  <c r="F69" i="17"/>
  <c r="H69" i="17" s="1"/>
  <c r="AT20" i="18"/>
  <c r="AT68" i="18"/>
  <c r="AV68" i="18" s="1"/>
  <c r="AH20" i="18"/>
  <c r="N20" i="18"/>
  <c r="AH21" i="17"/>
  <c r="AP20" i="18"/>
  <c r="Z68" i="18"/>
  <c r="AB68" i="18" s="1"/>
  <c r="AT21" i="17"/>
  <c r="AP69" i="17"/>
  <c r="AR69" i="17" s="1"/>
  <c r="J85" i="2"/>
  <c r="M85" i="2"/>
  <c r="K85" i="2"/>
  <c r="Q85" i="2"/>
  <c r="L85" i="2"/>
  <c r="I85" i="2"/>
  <c r="P85" i="2"/>
  <c r="H85" i="2"/>
  <c r="O85" i="2"/>
  <c r="N85" i="2"/>
  <c r="AP68" i="19"/>
  <c r="AR68" i="19" s="1"/>
  <c r="Z68" i="19"/>
  <c r="AB68" i="19" s="1"/>
  <c r="AL68" i="19"/>
  <c r="AN68" i="19" s="1"/>
  <c r="AH20" i="19"/>
  <c r="N20" i="19"/>
  <c r="D76" i="2"/>
  <c r="AL20" i="19"/>
  <c r="AT20" i="19"/>
  <c r="V68" i="19"/>
  <c r="X68" i="19" s="1"/>
  <c r="AH68" i="19"/>
  <c r="AJ68" i="19" s="1"/>
  <c r="N68" i="19"/>
  <c r="P68" i="19" s="1"/>
  <c r="AT68" i="19"/>
  <c r="AV68" i="19" s="1"/>
  <c r="J68" i="19"/>
  <c r="L68" i="19" s="1"/>
  <c r="B65" i="20"/>
  <c r="A68" i="20"/>
  <c r="Z20" i="19"/>
  <c r="F68" i="19"/>
  <c r="H68" i="19" s="1"/>
  <c r="AP20" i="19"/>
  <c r="V20" i="19"/>
  <c r="A65" i="21"/>
  <c r="B65" i="21" s="1"/>
  <c r="A69" i="20"/>
  <c r="A66" i="20"/>
  <c r="B66" i="20" s="1"/>
  <c r="A68" i="21"/>
  <c r="A67" i="20"/>
  <c r="B67" i="20" s="1"/>
  <c r="F20" i="19"/>
  <c r="J20" i="19"/>
  <c r="A69" i="21"/>
  <c r="A66" i="21"/>
  <c r="B66" i="21" s="1"/>
  <c r="A67" i="21"/>
  <c r="B67" i="21" s="1"/>
  <c r="P87" i="2"/>
  <c r="AQ17" i="3" s="1"/>
  <c r="AQ18" i="3" s="1"/>
  <c r="M87" i="2"/>
  <c r="AE17" i="3" s="1"/>
  <c r="AE18" i="3" s="1"/>
  <c r="K87" i="2"/>
  <c r="W17" i="3" s="1"/>
  <c r="W18" i="3" s="1"/>
  <c r="O17" i="17"/>
  <c r="O65" i="17"/>
  <c r="G17" i="17"/>
  <c r="G65" i="17"/>
  <c r="K65" i="17"/>
  <c r="K17" i="17"/>
  <c r="C17" i="17"/>
  <c r="C65" i="17"/>
  <c r="AP20" i="3"/>
  <c r="AT20" i="3"/>
  <c r="A68" i="3"/>
  <c r="AL20" i="3"/>
  <c r="AH20" i="3"/>
  <c r="AD20" i="3"/>
  <c r="Z20" i="3"/>
  <c r="A66" i="3"/>
  <c r="A67" i="3"/>
  <c r="A69" i="3"/>
  <c r="AT21" i="3"/>
  <c r="AD21" i="3"/>
  <c r="AP21" i="3"/>
  <c r="AH21" i="3"/>
  <c r="Z21" i="3"/>
  <c r="AL21" i="3"/>
  <c r="A65" i="3"/>
  <c r="N87" i="2"/>
  <c r="AI17" i="3" s="1"/>
  <c r="AI18" i="3" s="1"/>
  <c r="E105" i="2"/>
  <c r="M98" i="2"/>
  <c r="G98" i="2"/>
  <c r="O98" i="2"/>
  <c r="H98" i="2"/>
  <c r="P98" i="2"/>
  <c r="N98" i="2"/>
  <c r="F98" i="2"/>
  <c r="I98" i="2"/>
  <c r="Q98" i="2"/>
  <c r="J98" i="2"/>
  <c r="K98" i="2"/>
  <c r="L98" i="2"/>
  <c r="Q87" i="2"/>
  <c r="AU17" i="3" s="1"/>
  <c r="AU18" i="3" s="1"/>
  <c r="J87" i="2"/>
  <c r="S17" i="3" s="1"/>
  <c r="S18" i="3" s="1"/>
  <c r="E101" i="2"/>
  <c r="O87" i="2"/>
  <c r="AM17" i="3" s="1"/>
  <c r="AM18" i="3" s="1"/>
  <c r="E102" i="2"/>
  <c r="F21" i="3"/>
  <c r="L87" i="2"/>
  <c r="AA17" i="3" s="1"/>
  <c r="AA18" i="3" s="1"/>
  <c r="L97" i="2"/>
  <c r="M97" i="2"/>
  <c r="Q97" i="2"/>
  <c r="I97" i="2"/>
  <c r="K97" i="2"/>
  <c r="N97" i="2"/>
  <c r="J97" i="2"/>
  <c r="P97" i="2"/>
  <c r="H97" i="2"/>
  <c r="F97" i="2"/>
  <c r="O97" i="2"/>
  <c r="G97" i="2"/>
  <c r="E104" i="2"/>
  <c r="E103" i="2"/>
  <c r="N21" i="3"/>
  <c r="V21" i="3"/>
  <c r="R21" i="3"/>
  <c r="B21" i="3"/>
  <c r="J21" i="3"/>
  <c r="N20" i="3"/>
  <c r="J20" i="3"/>
  <c r="F20" i="3"/>
  <c r="V20" i="3"/>
  <c r="R20" i="3"/>
  <c r="C76" i="2"/>
  <c r="S16" i="2" l="1"/>
  <c r="I96" i="2"/>
  <c r="K66" i="18"/>
  <c r="K66" i="15"/>
  <c r="S15" i="2"/>
  <c r="I95" i="2"/>
  <c r="O92" i="2"/>
  <c r="G92" i="2"/>
  <c r="I92" i="2"/>
  <c r="M92" i="2"/>
  <c r="L92" i="2"/>
  <c r="K92" i="2"/>
  <c r="J92" i="2"/>
  <c r="Q92" i="2"/>
  <c r="F92" i="2"/>
  <c r="H92" i="2"/>
  <c r="N92" i="2"/>
  <c r="P92" i="2"/>
  <c r="AT76" i="17"/>
  <c r="AT75" i="17"/>
  <c r="AD84" i="3"/>
  <c r="AT84" i="17"/>
  <c r="AT79" i="17"/>
  <c r="AD85" i="3"/>
  <c r="AD75" i="3"/>
  <c r="AD74" i="3"/>
  <c r="AT83" i="17"/>
  <c r="AD79" i="3"/>
  <c r="AD83" i="3"/>
  <c r="AT85" i="17"/>
  <c r="AD76" i="3"/>
  <c r="AT77" i="17"/>
  <c r="AT73" i="17"/>
  <c r="AV73" i="17" s="1"/>
  <c r="AD82" i="3"/>
  <c r="AT78" i="17"/>
  <c r="AV78" i="17" s="1"/>
  <c r="AD73" i="3"/>
  <c r="AF73" i="3" s="1"/>
  <c r="AT82" i="17"/>
  <c r="AD81" i="3"/>
  <c r="AT74" i="17"/>
  <c r="AD78" i="3"/>
  <c r="AF78" i="3" s="1"/>
  <c r="AT81" i="17"/>
  <c r="AD80" i="3"/>
  <c r="AT80" i="17"/>
  <c r="AD77" i="3"/>
  <c r="V80" i="3"/>
  <c r="V75" i="3"/>
  <c r="J83" i="3"/>
  <c r="F85" i="3"/>
  <c r="AD80" i="17"/>
  <c r="AL85" i="3"/>
  <c r="Z77" i="3"/>
  <c r="Z84" i="17"/>
  <c r="AL76" i="17"/>
  <c r="R78" i="17"/>
  <c r="T78" i="17" s="1"/>
  <c r="AT78" i="3"/>
  <c r="AV78" i="3" s="1"/>
  <c r="V83" i="17"/>
  <c r="AP81" i="17"/>
  <c r="AH77" i="3"/>
  <c r="N80" i="3"/>
  <c r="R79" i="3"/>
  <c r="AP80" i="3"/>
  <c r="AH85" i="17"/>
  <c r="N82" i="17"/>
  <c r="F82" i="17"/>
  <c r="J82" i="17"/>
  <c r="J77" i="17"/>
  <c r="AP76" i="15"/>
  <c r="AL74" i="3"/>
  <c r="N73" i="3"/>
  <c r="P73" i="3" s="1"/>
  <c r="V77" i="3"/>
  <c r="J76" i="3"/>
  <c r="J80" i="3"/>
  <c r="F77" i="3"/>
  <c r="AD84" i="17"/>
  <c r="AL79" i="3"/>
  <c r="Z81" i="3"/>
  <c r="Z80" i="17"/>
  <c r="AL79" i="17"/>
  <c r="R76" i="17"/>
  <c r="AT76" i="3"/>
  <c r="AT75" i="3"/>
  <c r="V74" i="17"/>
  <c r="AP85" i="17"/>
  <c r="AH82" i="3"/>
  <c r="N85" i="3"/>
  <c r="R82" i="3"/>
  <c r="AP74" i="3"/>
  <c r="AH84" i="17"/>
  <c r="N85" i="17"/>
  <c r="F76" i="17"/>
  <c r="J76" i="17"/>
  <c r="AP78" i="15"/>
  <c r="AR78" i="15" s="1"/>
  <c r="AH73" i="17"/>
  <c r="AJ73" i="17" s="1"/>
  <c r="V76" i="3"/>
  <c r="J85" i="3"/>
  <c r="F82" i="3"/>
  <c r="F83" i="3"/>
  <c r="AD83" i="17"/>
  <c r="AL80" i="3"/>
  <c r="Z82" i="3"/>
  <c r="Z77" i="17"/>
  <c r="AL83" i="17"/>
  <c r="R73" i="17"/>
  <c r="T73" i="17" s="1"/>
  <c r="AT83" i="3"/>
  <c r="V76" i="17"/>
  <c r="AP73" i="17"/>
  <c r="AR73" i="17" s="1"/>
  <c r="AH80" i="3"/>
  <c r="N83" i="3"/>
  <c r="R78" i="3"/>
  <c r="T78" i="3" s="1"/>
  <c r="AP85" i="3"/>
  <c r="AH78" i="17"/>
  <c r="AJ78" i="17" s="1"/>
  <c r="N79" i="17"/>
  <c r="F73" i="17"/>
  <c r="H73" i="17" s="1"/>
  <c r="J79" i="17"/>
  <c r="AP83" i="15"/>
  <c r="R74" i="3"/>
  <c r="AP82" i="15"/>
  <c r="V73" i="3"/>
  <c r="X73" i="3" s="1"/>
  <c r="J79" i="3"/>
  <c r="F76" i="3"/>
  <c r="AD74" i="17"/>
  <c r="AL73" i="3"/>
  <c r="AN73" i="3" s="1"/>
  <c r="Z73" i="3"/>
  <c r="AB73" i="3" s="1"/>
  <c r="Z76" i="17"/>
  <c r="Z75" i="17"/>
  <c r="AL73" i="17"/>
  <c r="AN73" i="17" s="1"/>
  <c r="R85" i="17"/>
  <c r="AT73" i="3"/>
  <c r="AV73" i="3" s="1"/>
  <c r="V73" i="17"/>
  <c r="X73" i="17" s="1"/>
  <c r="AP83" i="17"/>
  <c r="AH78" i="3"/>
  <c r="AJ78" i="3" s="1"/>
  <c r="AH75" i="3"/>
  <c r="N74" i="3"/>
  <c r="R85" i="3"/>
  <c r="AP78" i="3"/>
  <c r="AR78" i="3" s="1"/>
  <c r="AH81" i="17"/>
  <c r="N78" i="17"/>
  <c r="P78" i="17" s="1"/>
  <c r="F81" i="17"/>
  <c r="J75" i="17"/>
  <c r="AP84" i="15"/>
  <c r="Z76" i="3"/>
  <c r="AT85" i="3"/>
  <c r="F79" i="17"/>
  <c r="V85" i="3"/>
  <c r="J82" i="3"/>
  <c r="F81" i="3"/>
  <c r="AD78" i="17"/>
  <c r="AF78" i="17" s="1"/>
  <c r="AL83" i="3"/>
  <c r="Z84" i="3"/>
  <c r="Z79" i="17"/>
  <c r="AL82" i="17"/>
  <c r="R74" i="17"/>
  <c r="AT79" i="3"/>
  <c r="V81" i="17"/>
  <c r="AP82" i="17"/>
  <c r="AH79" i="3"/>
  <c r="N84" i="3"/>
  <c r="N75" i="3"/>
  <c r="R80" i="3"/>
  <c r="AP73" i="3"/>
  <c r="AR73" i="3" s="1"/>
  <c r="AH83" i="17"/>
  <c r="N81" i="17"/>
  <c r="F83" i="17"/>
  <c r="J80" i="17"/>
  <c r="AP73" i="15"/>
  <c r="AR73" i="15" s="1"/>
  <c r="Z74" i="17"/>
  <c r="N76" i="17"/>
  <c r="V79" i="3"/>
  <c r="J75" i="3"/>
  <c r="F79" i="3"/>
  <c r="AD77" i="17"/>
  <c r="AL76" i="3"/>
  <c r="Z80" i="3"/>
  <c r="Z73" i="17"/>
  <c r="AB73" i="17" s="1"/>
  <c r="AL77" i="17"/>
  <c r="R79" i="17"/>
  <c r="AT74" i="3"/>
  <c r="V80" i="17"/>
  <c r="AP74" i="17"/>
  <c r="AH76" i="3"/>
  <c r="N78" i="3"/>
  <c r="P78" i="3" s="1"/>
  <c r="R83" i="3"/>
  <c r="AP82" i="3"/>
  <c r="AH74" i="17"/>
  <c r="N80" i="17"/>
  <c r="F85" i="17"/>
  <c r="J85" i="17"/>
  <c r="AP75" i="15"/>
  <c r="J77" i="3"/>
  <c r="AL80" i="17"/>
  <c r="V84" i="17"/>
  <c r="V83" i="3"/>
  <c r="J73" i="3"/>
  <c r="L73" i="3" s="1"/>
  <c r="F73" i="3"/>
  <c r="H73" i="3" s="1"/>
  <c r="AD82" i="17"/>
  <c r="AD75" i="17"/>
  <c r="AL82" i="3"/>
  <c r="Z74" i="3"/>
  <c r="Z83" i="17"/>
  <c r="AL78" i="17"/>
  <c r="AN78" i="17" s="1"/>
  <c r="AL75" i="17"/>
  <c r="R83" i="17"/>
  <c r="AT81" i="3"/>
  <c r="V77" i="17"/>
  <c r="AP84" i="17"/>
  <c r="AH81" i="3"/>
  <c r="N79" i="3"/>
  <c r="R81" i="3"/>
  <c r="R75" i="3"/>
  <c r="AP84" i="3"/>
  <c r="AH80" i="17"/>
  <c r="N74" i="17"/>
  <c r="F78" i="17"/>
  <c r="H78" i="17" s="1"/>
  <c r="J81" i="17"/>
  <c r="AP77" i="15"/>
  <c r="V81" i="3"/>
  <c r="V84" i="3"/>
  <c r="J78" i="3"/>
  <c r="L78" i="3" s="1"/>
  <c r="F75" i="3"/>
  <c r="AD85" i="17"/>
  <c r="AL81" i="3"/>
  <c r="AL75" i="3"/>
  <c r="Z85" i="3"/>
  <c r="Z78" i="17"/>
  <c r="AB78" i="17" s="1"/>
  <c r="AL81" i="17"/>
  <c r="R84" i="17"/>
  <c r="AT84" i="3"/>
  <c r="V82" i="17"/>
  <c r="V75" i="17"/>
  <c r="AP76" i="17"/>
  <c r="AH84" i="3"/>
  <c r="N82" i="3"/>
  <c r="R76" i="3"/>
  <c r="AP76" i="3"/>
  <c r="AP75" i="3"/>
  <c r="AH77" i="17"/>
  <c r="N73" i="17"/>
  <c r="P73" i="17" s="1"/>
  <c r="F74" i="17"/>
  <c r="J73" i="17"/>
  <c r="L73" i="17" s="1"/>
  <c r="AP80" i="15"/>
  <c r="AD81" i="17"/>
  <c r="R75" i="17"/>
  <c r="AH83" i="3"/>
  <c r="V78" i="3"/>
  <c r="X78" i="3" s="1"/>
  <c r="J81" i="3"/>
  <c r="F78" i="3"/>
  <c r="H78" i="3" s="1"/>
  <c r="AD76" i="17"/>
  <c r="AL78" i="3"/>
  <c r="AN78" i="3" s="1"/>
  <c r="Z83" i="3"/>
  <c r="Z82" i="17"/>
  <c r="AL85" i="17"/>
  <c r="AP85" i="15"/>
  <c r="R82" i="17"/>
  <c r="AT77" i="3"/>
  <c r="V79" i="17"/>
  <c r="AP79" i="17"/>
  <c r="AH73" i="3"/>
  <c r="AJ73" i="3" s="1"/>
  <c r="N76" i="3"/>
  <c r="R84" i="3"/>
  <c r="AP81" i="3"/>
  <c r="AH82" i="17"/>
  <c r="AH75" i="17"/>
  <c r="N83" i="17"/>
  <c r="F80" i="17"/>
  <c r="J84" i="17"/>
  <c r="AP79" i="15"/>
  <c r="J78" i="17"/>
  <c r="L78" i="17" s="1"/>
  <c r="V74" i="3"/>
  <c r="J74" i="3"/>
  <c r="F74" i="3"/>
  <c r="AD73" i="17"/>
  <c r="AF73" i="17" s="1"/>
  <c r="AL84" i="3"/>
  <c r="Z78" i="3"/>
  <c r="AB78" i="3" s="1"/>
  <c r="Z75" i="3"/>
  <c r="Z81" i="17"/>
  <c r="AL74" i="17"/>
  <c r="R80" i="17"/>
  <c r="AT82" i="3"/>
  <c r="V85" i="17"/>
  <c r="AP77" i="17"/>
  <c r="AH85" i="3"/>
  <c r="N81" i="3"/>
  <c r="R77" i="3"/>
  <c r="AP79" i="3"/>
  <c r="AH79" i="17"/>
  <c r="N75" i="17"/>
  <c r="F84" i="17"/>
  <c r="J74" i="17"/>
  <c r="AP81" i="15"/>
  <c r="R81" i="17"/>
  <c r="AP78" i="17"/>
  <c r="AR78" i="17" s="1"/>
  <c r="AP77" i="3"/>
  <c r="V82" i="3"/>
  <c r="J84" i="3"/>
  <c r="F84" i="3"/>
  <c r="AD79" i="17"/>
  <c r="AL77" i="3"/>
  <c r="Z79" i="3"/>
  <c r="Z85" i="17"/>
  <c r="AL84" i="17"/>
  <c r="R77" i="17"/>
  <c r="AT80" i="3"/>
  <c r="V78" i="17"/>
  <c r="X78" i="17" s="1"/>
  <c r="AP80" i="17"/>
  <c r="AP75" i="17"/>
  <c r="AH74" i="3"/>
  <c r="N77" i="3"/>
  <c r="R73" i="3"/>
  <c r="T73" i="3" s="1"/>
  <c r="AP83" i="3"/>
  <c r="AH76" i="17"/>
  <c r="N84" i="17"/>
  <c r="N77" i="17"/>
  <c r="F75" i="17"/>
  <c r="J83" i="17"/>
  <c r="AP74" i="15"/>
  <c r="F80" i="3"/>
  <c r="F77" i="17"/>
  <c r="AD82" i="16"/>
  <c r="AD83" i="16"/>
  <c r="AL76" i="16"/>
  <c r="J78" i="18"/>
  <c r="L78" i="18" s="1"/>
  <c r="Z85" i="16"/>
  <c r="N85" i="18"/>
  <c r="B77" i="16"/>
  <c r="AP77" i="16"/>
  <c r="AP78" i="16"/>
  <c r="AR78" i="16" s="1"/>
  <c r="F85" i="18"/>
  <c r="AL79" i="18"/>
  <c r="AD77" i="18"/>
  <c r="V76" i="18"/>
  <c r="AT83" i="18"/>
  <c r="B75" i="18"/>
  <c r="J73" i="16"/>
  <c r="L73" i="16" s="1"/>
  <c r="F82" i="16"/>
  <c r="J85" i="15"/>
  <c r="AH84" i="18"/>
  <c r="N85" i="16"/>
  <c r="AT76" i="16"/>
  <c r="Z79" i="18"/>
  <c r="AH74" i="16"/>
  <c r="R73" i="16"/>
  <c r="T73" i="16" s="1"/>
  <c r="V85" i="16"/>
  <c r="R77" i="18"/>
  <c r="AP77" i="18"/>
  <c r="AL73" i="15"/>
  <c r="AN73" i="15" s="1"/>
  <c r="AD80" i="15"/>
  <c r="R78" i="15"/>
  <c r="T78" i="15" s="1"/>
  <c r="V76" i="15"/>
  <c r="AH77" i="15"/>
  <c r="Z79" i="15"/>
  <c r="B80" i="15"/>
  <c r="F82" i="15"/>
  <c r="N81" i="15"/>
  <c r="AT82" i="15"/>
  <c r="B84" i="18"/>
  <c r="D84" i="18" s="1"/>
  <c r="AD76" i="16"/>
  <c r="AL84" i="16"/>
  <c r="AL80" i="16"/>
  <c r="J84" i="18"/>
  <c r="Z80" i="16"/>
  <c r="N82" i="18"/>
  <c r="B83" i="16"/>
  <c r="AP75" i="16"/>
  <c r="F74" i="18"/>
  <c r="F78" i="18"/>
  <c r="H78" i="18" s="1"/>
  <c r="AL80" i="18"/>
  <c r="AD79" i="18"/>
  <c r="V80" i="18"/>
  <c r="V81" i="18"/>
  <c r="AT82" i="18"/>
  <c r="B83" i="18"/>
  <c r="D83" i="18" s="1"/>
  <c r="J76" i="16"/>
  <c r="F81" i="16"/>
  <c r="AH79" i="18"/>
  <c r="N76" i="16"/>
  <c r="AT79" i="16"/>
  <c r="Z77" i="18"/>
  <c r="AH77" i="16"/>
  <c r="R74" i="16"/>
  <c r="V80" i="16"/>
  <c r="R75" i="18"/>
  <c r="AP78" i="18"/>
  <c r="AR78" i="18" s="1"/>
  <c r="AL81" i="15"/>
  <c r="AD79" i="15"/>
  <c r="R77" i="15"/>
  <c r="V83" i="15"/>
  <c r="J80" i="15"/>
  <c r="AH75" i="15"/>
  <c r="Z80" i="15"/>
  <c r="B83" i="15"/>
  <c r="F74" i="15"/>
  <c r="N74" i="15"/>
  <c r="AT78" i="15"/>
  <c r="AV78" i="15" s="1"/>
  <c r="AL83" i="18"/>
  <c r="F79" i="16"/>
  <c r="AT73" i="16"/>
  <c r="AV73" i="16" s="1"/>
  <c r="AD75" i="15"/>
  <c r="AD85" i="16"/>
  <c r="AL74" i="16"/>
  <c r="J73" i="18"/>
  <c r="L73" i="18" s="1"/>
  <c r="J74" i="18"/>
  <c r="Z81" i="16"/>
  <c r="N81" i="18"/>
  <c r="B73" i="16"/>
  <c r="D73" i="16" s="1"/>
  <c r="AP83" i="16"/>
  <c r="F76" i="18"/>
  <c r="AL81" i="18"/>
  <c r="AL85" i="18"/>
  <c r="AD83" i="18"/>
  <c r="V75" i="18"/>
  <c r="AD85" i="15"/>
  <c r="AT75" i="18"/>
  <c r="B85" i="18"/>
  <c r="J75" i="16"/>
  <c r="F73" i="16"/>
  <c r="H73" i="16" s="1"/>
  <c r="V85" i="15"/>
  <c r="AH83" i="18"/>
  <c r="N83" i="16"/>
  <c r="AT80" i="16"/>
  <c r="Z81" i="18"/>
  <c r="AH82" i="16"/>
  <c r="AH83" i="16"/>
  <c r="R83" i="16"/>
  <c r="V81" i="16"/>
  <c r="R80" i="18"/>
  <c r="AP79" i="18"/>
  <c r="AL82" i="15"/>
  <c r="AD81" i="15"/>
  <c r="R75" i="15"/>
  <c r="V81" i="15"/>
  <c r="J76" i="15"/>
  <c r="AH74" i="15"/>
  <c r="Z75" i="15"/>
  <c r="B81" i="15"/>
  <c r="F76" i="15"/>
  <c r="N82" i="15"/>
  <c r="AT80" i="15"/>
  <c r="Z74" i="16"/>
  <c r="N75" i="16"/>
  <c r="AH84" i="16"/>
  <c r="AD79" i="16"/>
  <c r="AL75" i="16"/>
  <c r="J85" i="18"/>
  <c r="Z75" i="16"/>
  <c r="N75" i="18"/>
  <c r="B82" i="16"/>
  <c r="AP81" i="16"/>
  <c r="F73" i="18"/>
  <c r="H73" i="18" s="1"/>
  <c r="AL76" i="18"/>
  <c r="F85" i="15"/>
  <c r="AD78" i="18"/>
  <c r="AF78" i="18" s="1"/>
  <c r="V82" i="18"/>
  <c r="AT76" i="18"/>
  <c r="AT74" i="18"/>
  <c r="B74" i="18"/>
  <c r="J85" i="16"/>
  <c r="F75" i="16"/>
  <c r="AH80" i="18"/>
  <c r="N80" i="16"/>
  <c r="AT85" i="16"/>
  <c r="Z83" i="18"/>
  <c r="AH76" i="16"/>
  <c r="Z85" i="15"/>
  <c r="R79" i="16"/>
  <c r="V77" i="16"/>
  <c r="R83" i="18"/>
  <c r="AP74" i="18"/>
  <c r="AL74" i="15"/>
  <c r="AD84" i="15"/>
  <c r="R84" i="15"/>
  <c r="V84" i="15"/>
  <c r="J84" i="15"/>
  <c r="AH84" i="15"/>
  <c r="Z77" i="15"/>
  <c r="B82" i="15"/>
  <c r="F83" i="15"/>
  <c r="N76" i="15"/>
  <c r="AT79" i="15"/>
  <c r="AD73" i="16"/>
  <c r="AF73" i="16" s="1"/>
  <c r="AL73" i="16"/>
  <c r="AN73" i="16" s="1"/>
  <c r="J82" i="18"/>
  <c r="AT85" i="15"/>
  <c r="Z77" i="16"/>
  <c r="N77" i="18"/>
  <c r="B78" i="16"/>
  <c r="D78" i="16" s="1"/>
  <c r="AP82" i="16"/>
  <c r="F82" i="18"/>
  <c r="AL82" i="18"/>
  <c r="AD85" i="18"/>
  <c r="AD74" i="18"/>
  <c r="V85" i="18"/>
  <c r="AT73" i="18"/>
  <c r="AV73" i="18" s="1"/>
  <c r="B78" i="18"/>
  <c r="D78" i="18" s="1"/>
  <c r="J81" i="16"/>
  <c r="F85" i="16"/>
  <c r="AH85" i="18"/>
  <c r="AH77" i="18"/>
  <c r="N74" i="16"/>
  <c r="AT82" i="16"/>
  <c r="Z85" i="18"/>
  <c r="AH73" i="16"/>
  <c r="AJ73" i="16" s="1"/>
  <c r="R82" i="16"/>
  <c r="V76" i="16"/>
  <c r="R81" i="18"/>
  <c r="AP75" i="18"/>
  <c r="AL77" i="15"/>
  <c r="AD73" i="15"/>
  <c r="AF73" i="15" s="1"/>
  <c r="R73" i="15"/>
  <c r="T73" i="15" s="1"/>
  <c r="V73" i="15"/>
  <c r="X73" i="15" s="1"/>
  <c r="J73" i="15"/>
  <c r="L73" i="15" s="1"/>
  <c r="AH73" i="15"/>
  <c r="AJ73" i="15" s="1"/>
  <c r="Z84" i="15"/>
  <c r="B74" i="15"/>
  <c r="F78" i="15"/>
  <c r="H78" i="15" s="1"/>
  <c r="N83" i="15"/>
  <c r="AT77" i="15"/>
  <c r="AD81" i="16"/>
  <c r="N73" i="18"/>
  <c r="P73" i="18" s="1"/>
  <c r="AL84" i="15"/>
  <c r="AD75" i="16"/>
  <c r="AL78" i="16"/>
  <c r="AN78" i="16" s="1"/>
  <c r="J75" i="18"/>
  <c r="Z82" i="16"/>
  <c r="N84" i="18"/>
  <c r="B75" i="16"/>
  <c r="AP76" i="16"/>
  <c r="F81" i="18"/>
  <c r="AL73" i="18"/>
  <c r="AN73" i="18" s="1"/>
  <c r="AD80" i="18"/>
  <c r="V74" i="18"/>
  <c r="AT79" i="18"/>
  <c r="B81" i="18"/>
  <c r="D81" i="18" s="1"/>
  <c r="B80" i="18"/>
  <c r="J77" i="16"/>
  <c r="F80" i="16"/>
  <c r="AH81" i="18"/>
  <c r="N78" i="16"/>
  <c r="P78" i="16" s="1"/>
  <c r="N77" i="16"/>
  <c r="AT78" i="16"/>
  <c r="AV78" i="16" s="1"/>
  <c r="Z74" i="18"/>
  <c r="AH85" i="16"/>
  <c r="R85" i="16"/>
  <c r="V73" i="16"/>
  <c r="X73" i="16" s="1"/>
  <c r="R79" i="18"/>
  <c r="AP84" i="18"/>
  <c r="AL78" i="15"/>
  <c r="AN78" i="15" s="1"/>
  <c r="AD74" i="15"/>
  <c r="R81" i="15"/>
  <c r="V74" i="15"/>
  <c r="J77" i="15"/>
  <c r="AH78" i="15"/>
  <c r="AJ78" i="15" s="1"/>
  <c r="Z73" i="15"/>
  <c r="AB73" i="15" s="1"/>
  <c r="B76" i="15"/>
  <c r="F77" i="15"/>
  <c r="N78" i="15"/>
  <c r="P78" i="15" s="1"/>
  <c r="AT75" i="15"/>
  <c r="F84" i="18"/>
  <c r="V77" i="18"/>
  <c r="AH73" i="18"/>
  <c r="AJ73" i="18" s="1"/>
  <c r="AD77" i="16"/>
  <c r="AL82" i="16"/>
  <c r="J79" i="18"/>
  <c r="Z79" i="16"/>
  <c r="Z84" i="16"/>
  <c r="N78" i="18"/>
  <c r="P78" i="18" s="1"/>
  <c r="B80" i="16"/>
  <c r="AP84" i="16"/>
  <c r="F79" i="18"/>
  <c r="AL75" i="18"/>
  <c r="AD82" i="18"/>
  <c r="V78" i="18"/>
  <c r="X78" i="18" s="1"/>
  <c r="AT84" i="18"/>
  <c r="B76" i="18"/>
  <c r="N85" i="15"/>
  <c r="J84" i="16"/>
  <c r="F74" i="16"/>
  <c r="AH76" i="18"/>
  <c r="N79" i="16"/>
  <c r="AT81" i="16"/>
  <c r="Z82" i="18"/>
  <c r="AH75" i="16"/>
  <c r="R81" i="16"/>
  <c r="R80" i="16"/>
  <c r="V75" i="16"/>
  <c r="R73" i="18"/>
  <c r="T73" i="18" s="1"/>
  <c r="AP73" i="18"/>
  <c r="AR73" i="18" s="1"/>
  <c r="AL76" i="15"/>
  <c r="AD76" i="15"/>
  <c r="R79" i="15"/>
  <c r="V78" i="15"/>
  <c r="X78" i="15" s="1"/>
  <c r="J74" i="15"/>
  <c r="AH79" i="15"/>
  <c r="Z81" i="15"/>
  <c r="B84" i="15"/>
  <c r="N79" i="15"/>
  <c r="AT81" i="15"/>
  <c r="F84" i="15"/>
  <c r="AT84" i="15"/>
  <c r="AP82" i="18"/>
  <c r="AD74" i="16"/>
  <c r="AL81" i="16"/>
  <c r="J76" i="18"/>
  <c r="Z76" i="16"/>
  <c r="N83" i="18"/>
  <c r="B74" i="16"/>
  <c r="AP85" i="16"/>
  <c r="F83" i="18"/>
  <c r="AL74" i="18"/>
  <c r="AD81" i="18"/>
  <c r="V79" i="18"/>
  <c r="AT81" i="18"/>
  <c r="B82" i="18"/>
  <c r="R85" i="15"/>
  <c r="J80" i="16"/>
  <c r="F77" i="16"/>
  <c r="AH75" i="18"/>
  <c r="N82" i="16"/>
  <c r="AT84" i="16"/>
  <c r="Z80" i="18"/>
  <c r="AH81" i="16"/>
  <c r="R77" i="16"/>
  <c r="V82" i="16"/>
  <c r="V79" i="16"/>
  <c r="R78" i="18"/>
  <c r="T78" i="18" s="1"/>
  <c r="AP80" i="18"/>
  <c r="AL79" i="15"/>
  <c r="AD82" i="15"/>
  <c r="R80" i="15"/>
  <c r="V82" i="15"/>
  <c r="J81" i="15"/>
  <c r="AH80" i="15"/>
  <c r="Z74" i="15"/>
  <c r="B73" i="15"/>
  <c r="D73" i="15" s="1"/>
  <c r="N84" i="15"/>
  <c r="AP74" i="16"/>
  <c r="V74" i="16"/>
  <c r="AD80" i="16"/>
  <c r="AL77" i="16"/>
  <c r="J80" i="18"/>
  <c r="Z78" i="16"/>
  <c r="AB78" i="16" s="1"/>
  <c r="N74" i="18"/>
  <c r="B85" i="16"/>
  <c r="AP79" i="16"/>
  <c r="F80" i="18"/>
  <c r="AL77" i="18"/>
  <c r="AD73" i="18"/>
  <c r="AF73" i="18" s="1"/>
  <c r="V83" i="18"/>
  <c r="AT78" i="18"/>
  <c r="AV78" i="18" s="1"/>
  <c r="B77" i="18"/>
  <c r="J83" i="16"/>
  <c r="F83" i="16"/>
  <c r="AH82" i="18"/>
  <c r="N73" i="16"/>
  <c r="P73" i="16" s="1"/>
  <c r="AH85" i="15"/>
  <c r="AT83" i="16"/>
  <c r="Z75" i="18"/>
  <c r="AH79" i="16"/>
  <c r="R75" i="16"/>
  <c r="V83" i="16"/>
  <c r="R74" i="18"/>
  <c r="R84" i="18"/>
  <c r="AP85" i="18"/>
  <c r="AL75" i="15"/>
  <c r="AD77" i="15"/>
  <c r="R82" i="15"/>
  <c r="V75" i="15"/>
  <c r="J79" i="15"/>
  <c r="AH82" i="15"/>
  <c r="Z82" i="15"/>
  <c r="B79" i="15"/>
  <c r="F73" i="15"/>
  <c r="H73" i="15" s="1"/>
  <c r="N73" i="15"/>
  <c r="P73" i="15" s="1"/>
  <c r="AT73" i="15"/>
  <c r="AV73" i="15" s="1"/>
  <c r="B81" i="16"/>
  <c r="AD84" i="16"/>
  <c r="AL85" i="16"/>
  <c r="J77" i="18"/>
  <c r="Z73" i="16"/>
  <c r="AB73" i="16" s="1"/>
  <c r="N79" i="18"/>
  <c r="B76" i="16"/>
  <c r="AP80" i="16"/>
  <c r="F77" i="18"/>
  <c r="AL84" i="18"/>
  <c r="AD75" i="18"/>
  <c r="V73" i="18"/>
  <c r="X73" i="18" s="1"/>
  <c r="AT80" i="18"/>
  <c r="B73" i="18"/>
  <c r="D73" i="18" s="1"/>
  <c r="J74" i="16"/>
  <c r="J78" i="16"/>
  <c r="L78" i="16" s="1"/>
  <c r="F84" i="16"/>
  <c r="AH78" i="18"/>
  <c r="AJ78" i="18" s="1"/>
  <c r="N84" i="16"/>
  <c r="AT77" i="16"/>
  <c r="AT74" i="16"/>
  <c r="Z78" i="18"/>
  <c r="AB78" i="18" s="1"/>
  <c r="AH80" i="16"/>
  <c r="R76" i="16"/>
  <c r="V84" i="16"/>
  <c r="R85" i="18"/>
  <c r="AP81" i="18"/>
  <c r="AP76" i="18"/>
  <c r="AL80" i="15"/>
  <c r="AD83" i="15"/>
  <c r="R74" i="15"/>
  <c r="V79" i="15"/>
  <c r="J78" i="15"/>
  <c r="L78" i="15" s="1"/>
  <c r="AH76" i="15"/>
  <c r="Z78" i="15"/>
  <c r="AB78" i="15" s="1"/>
  <c r="B78" i="15"/>
  <c r="D78" i="15" s="1"/>
  <c r="F79" i="15"/>
  <c r="N75" i="15"/>
  <c r="AT83" i="15"/>
  <c r="AL79" i="16"/>
  <c r="AD84" i="18"/>
  <c r="J82" i="16"/>
  <c r="Z73" i="18"/>
  <c r="AB73" i="18" s="1"/>
  <c r="R84" i="16"/>
  <c r="V80" i="15"/>
  <c r="AD78" i="16"/>
  <c r="AF78" i="16" s="1"/>
  <c r="AL83" i="16"/>
  <c r="J83" i="18"/>
  <c r="Z83" i="16"/>
  <c r="N76" i="18"/>
  <c r="N80" i="18"/>
  <c r="B84" i="16"/>
  <c r="AP73" i="16"/>
  <c r="AR73" i="16" s="1"/>
  <c r="F75" i="18"/>
  <c r="AL78" i="18"/>
  <c r="AN78" i="18" s="1"/>
  <c r="AD76" i="18"/>
  <c r="AL85" i="15"/>
  <c r="V84" i="18"/>
  <c r="AT85" i="18"/>
  <c r="B79" i="18"/>
  <c r="J79" i="16"/>
  <c r="F76" i="16"/>
  <c r="F78" i="16"/>
  <c r="H78" i="16" s="1"/>
  <c r="AH74" i="18"/>
  <c r="N81" i="16"/>
  <c r="AT75" i="16"/>
  <c r="Z76" i="18"/>
  <c r="Z84" i="18"/>
  <c r="AH78" i="16"/>
  <c r="AJ78" i="16" s="1"/>
  <c r="R78" i="16"/>
  <c r="T78" i="16" s="1"/>
  <c r="V78" i="16"/>
  <c r="X78" i="16" s="1"/>
  <c r="R82" i="18"/>
  <c r="AP83" i="18"/>
  <c r="B85" i="15"/>
  <c r="AL83" i="15"/>
  <c r="AD78" i="15"/>
  <c r="AF78" i="15" s="1"/>
  <c r="R76" i="15"/>
  <c r="V77" i="15"/>
  <c r="J82" i="15"/>
  <c r="AH83" i="15"/>
  <c r="Z76" i="15"/>
  <c r="B75" i="15"/>
  <c r="F80" i="15"/>
  <c r="N77" i="15"/>
  <c r="AT74" i="15"/>
  <c r="J81" i="18"/>
  <c r="B79" i="16"/>
  <c r="AT77" i="18"/>
  <c r="R76" i="18"/>
  <c r="R83" i="15"/>
  <c r="F81" i="15"/>
  <c r="J83" i="15"/>
  <c r="AT76" i="15"/>
  <c r="AH81" i="15"/>
  <c r="B77" i="15"/>
  <c r="N80" i="15"/>
  <c r="Z83" i="15"/>
  <c r="B73" i="19"/>
  <c r="D73" i="19" s="1"/>
  <c r="J85" i="19"/>
  <c r="J78" i="19"/>
  <c r="L78" i="19" s="1"/>
  <c r="F83" i="19"/>
  <c r="R78" i="19"/>
  <c r="T78" i="19" s="1"/>
  <c r="AH76" i="19"/>
  <c r="N83" i="19"/>
  <c r="AL83" i="19"/>
  <c r="V79" i="19"/>
  <c r="AD73" i="19"/>
  <c r="AF73" i="19" s="1"/>
  <c r="AP81" i="19"/>
  <c r="AT81" i="19"/>
  <c r="Z77" i="19"/>
  <c r="AD83" i="19"/>
  <c r="AT75" i="19"/>
  <c r="AD75" i="19"/>
  <c r="Z78" i="19"/>
  <c r="AB78" i="19" s="1"/>
  <c r="Z79" i="19"/>
  <c r="B80" i="19"/>
  <c r="AT77" i="19"/>
  <c r="B81" i="19"/>
  <c r="J84" i="19"/>
  <c r="F85" i="19"/>
  <c r="F76" i="19"/>
  <c r="R82" i="19"/>
  <c r="AH75" i="19"/>
  <c r="N78" i="19"/>
  <c r="P78" i="19" s="1"/>
  <c r="AL82" i="19"/>
  <c r="V82" i="19"/>
  <c r="AD78" i="19"/>
  <c r="AF78" i="19" s="1"/>
  <c r="AP80" i="19"/>
  <c r="AT80" i="19"/>
  <c r="Z81" i="19"/>
  <c r="Z80" i="19"/>
  <c r="Z73" i="19"/>
  <c r="AB73" i="19" s="1"/>
  <c r="Z76" i="19"/>
  <c r="AT74" i="19"/>
  <c r="AD80" i="19"/>
  <c r="AH82" i="19"/>
  <c r="B83" i="19"/>
  <c r="J81" i="19"/>
  <c r="F84" i="19"/>
  <c r="R85" i="19"/>
  <c r="R79" i="19"/>
  <c r="AH74" i="19"/>
  <c r="N79" i="19"/>
  <c r="AL79" i="19"/>
  <c r="V75" i="19"/>
  <c r="AD79" i="19"/>
  <c r="AP83" i="19"/>
  <c r="AT73" i="19"/>
  <c r="AV73" i="19" s="1"/>
  <c r="AP74" i="19"/>
  <c r="AP78" i="19"/>
  <c r="AR78" i="19" s="1"/>
  <c r="AP79" i="19"/>
  <c r="AP84" i="19"/>
  <c r="J75" i="19"/>
  <c r="B82" i="19"/>
  <c r="J80" i="19"/>
  <c r="F77" i="19"/>
  <c r="R84" i="19"/>
  <c r="AH85" i="19"/>
  <c r="AH83" i="19"/>
  <c r="N82" i="19"/>
  <c r="AL78" i="19"/>
  <c r="AN78" i="19" s="1"/>
  <c r="V74" i="19"/>
  <c r="AT79" i="19"/>
  <c r="Z82" i="19"/>
  <c r="AP82" i="19"/>
  <c r="Z85" i="19"/>
  <c r="V81" i="19"/>
  <c r="B76" i="19"/>
  <c r="J73" i="19"/>
  <c r="L73" i="19" s="1"/>
  <c r="F81" i="19"/>
  <c r="R73" i="19"/>
  <c r="T73" i="19" s="1"/>
  <c r="AH84" i="19"/>
  <c r="N85" i="19"/>
  <c r="N74" i="19"/>
  <c r="AL75" i="19"/>
  <c r="V78" i="19"/>
  <c r="X78" i="19" s="1"/>
  <c r="AD74" i="19"/>
  <c r="AP76" i="19"/>
  <c r="AT82" i="19"/>
  <c r="Z83" i="19"/>
  <c r="Z75" i="19"/>
  <c r="AT85" i="19"/>
  <c r="F74" i="19"/>
  <c r="B78" i="19"/>
  <c r="D78" i="19" s="1"/>
  <c r="J77" i="19"/>
  <c r="F80" i="19"/>
  <c r="R81" i="19"/>
  <c r="AH81" i="19"/>
  <c r="N84" i="19"/>
  <c r="AL85" i="19"/>
  <c r="AL74" i="19"/>
  <c r="V83" i="19"/>
  <c r="AD76" i="19"/>
  <c r="AT78" i="19"/>
  <c r="AV78" i="19" s="1"/>
  <c r="AT83" i="19"/>
  <c r="AT84" i="19"/>
  <c r="AP77" i="19"/>
  <c r="B79" i="19"/>
  <c r="J79" i="19"/>
  <c r="F73" i="19"/>
  <c r="H73" i="19" s="1"/>
  <c r="R77" i="19"/>
  <c r="AH80" i="19"/>
  <c r="N81" i="19"/>
  <c r="AL84" i="19"/>
  <c r="V85" i="19"/>
  <c r="V76" i="19"/>
  <c r="AD82" i="19"/>
  <c r="AP75" i="19"/>
  <c r="AD85" i="19"/>
  <c r="AP73" i="19"/>
  <c r="AR73" i="19" s="1"/>
  <c r="AD77" i="19"/>
  <c r="B74" i="19"/>
  <c r="J83" i="19"/>
  <c r="F79" i="19"/>
  <c r="R80" i="19"/>
  <c r="AH77" i="19"/>
  <c r="N80" i="19"/>
  <c r="AL73" i="19"/>
  <c r="AN73" i="19" s="1"/>
  <c r="V84" i="19"/>
  <c r="AT76" i="19"/>
  <c r="AL76" i="19"/>
  <c r="B85" i="19"/>
  <c r="B75" i="19"/>
  <c r="J76" i="19"/>
  <c r="F82" i="19"/>
  <c r="R75" i="19"/>
  <c r="AH73" i="19"/>
  <c r="AJ73" i="19" s="1"/>
  <c r="N77" i="19"/>
  <c r="AL81" i="19"/>
  <c r="V80" i="19"/>
  <c r="AD84" i="19"/>
  <c r="AP85" i="19"/>
  <c r="N75" i="19"/>
  <c r="B84" i="19"/>
  <c r="J74" i="19"/>
  <c r="F75" i="19"/>
  <c r="R74" i="19"/>
  <c r="AH78" i="19"/>
  <c r="AJ78" i="19" s="1"/>
  <c r="N73" i="19"/>
  <c r="P73" i="19" s="1"/>
  <c r="AL80" i="19"/>
  <c r="V73" i="19"/>
  <c r="X73" i="19" s="1"/>
  <c r="Z74" i="19"/>
  <c r="Z84" i="19"/>
  <c r="B77" i="19"/>
  <c r="J82" i="19"/>
  <c r="F78" i="19"/>
  <c r="H78" i="19" s="1"/>
  <c r="R83" i="19"/>
  <c r="AH79" i="19"/>
  <c r="N76" i="19"/>
  <c r="AL77" i="19"/>
  <c r="V77" i="19"/>
  <c r="AD81" i="19"/>
  <c r="R76" i="19"/>
  <c r="B41" i="20"/>
  <c r="Q14" i="2"/>
  <c r="B69" i="21"/>
  <c r="D69" i="21" s="1"/>
  <c r="B68" i="21"/>
  <c r="D68" i="21" s="1"/>
  <c r="B68" i="20"/>
  <c r="D68" i="20" s="1"/>
  <c r="B69" i="20"/>
  <c r="D69" i="20" s="1"/>
  <c r="W65" i="17"/>
  <c r="W17" i="17"/>
  <c r="W18" i="17" s="1"/>
  <c r="AE65" i="17"/>
  <c r="AE66" i="17" s="1"/>
  <c r="AE17" i="17"/>
  <c r="AE18" i="17" s="1"/>
  <c r="AE19" i="17" s="1"/>
  <c r="AQ65" i="17"/>
  <c r="AQ66" i="17" s="1"/>
  <c r="AQ17" i="17"/>
  <c r="AQ18" i="17" s="1"/>
  <c r="E110" i="2"/>
  <c r="F110" i="2" s="1"/>
  <c r="E111" i="2"/>
  <c r="F111" i="2" s="1"/>
  <c r="F104" i="2"/>
  <c r="F105" i="2"/>
  <c r="E112" i="2"/>
  <c r="F112" i="2" s="1"/>
  <c r="E108" i="2"/>
  <c r="F108" i="2" s="1"/>
  <c r="E109" i="2"/>
  <c r="F109" i="2" s="1"/>
  <c r="B89" i="3"/>
  <c r="K18" i="17"/>
  <c r="C18" i="17"/>
  <c r="K66" i="17"/>
  <c r="G66" i="17"/>
  <c r="AA17" i="17"/>
  <c r="AA65" i="17"/>
  <c r="AQ67" i="19"/>
  <c r="G18" i="17"/>
  <c r="O66" i="17"/>
  <c r="C66" i="17"/>
  <c r="S65" i="17"/>
  <c r="S17" i="17"/>
  <c r="AI17" i="17"/>
  <c r="AI65" i="17"/>
  <c r="AU17" i="17"/>
  <c r="AU65" i="17"/>
  <c r="AM17" i="17"/>
  <c r="AM65" i="17"/>
  <c r="O67" i="16"/>
  <c r="O18" i="17"/>
  <c r="B69" i="3"/>
  <c r="D69" i="3" s="1"/>
  <c r="AL69" i="3"/>
  <c r="AN69" i="3" s="1"/>
  <c r="AT69" i="3"/>
  <c r="AV69" i="3" s="1"/>
  <c r="F69" i="3"/>
  <c r="H69" i="3" s="1"/>
  <c r="AH69" i="3"/>
  <c r="AJ69" i="3" s="1"/>
  <c r="AD69" i="3"/>
  <c r="AF69" i="3" s="1"/>
  <c r="R69" i="3"/>
  <c r="T69" i="3" s="1"/>
  <c r="N69" i="3"/>
  <c r="P69" i="3" s="1"/>
  <c r="J69" i="3"/>
  <c r="L69" i="3" s="1"/>
  <c r="V69" i="3"/>
  <c r="X69" i="3" s="1"/>
  <c r="AP69" i="3"/>
  <c r="AR69" i="3" s="1"/>
  <c r="Z69" i="3"/>
  <c r="AB69" i="3" s="1"/>
  <c r="Z68" i="3"/>
  <c r="AB68" i="3" s="1"/>
  <c r="AT68" i="3"/>
  <c r="AV68" i="3" s="1"/>
  <c r="J68" i="3"/>
  <c r="L68" i="3" s="1"/>
  <c r="V68" i="3"/>
  <c r="X68" i="3" s="1"/>
  <c r="AP68" i="3"/>
  <c r="AR68" i="3" s="1"/>
  <c r="R68" i="3"/>
  <c r="T68" i="3" s="1"/>
  <c r="F68" i="3"/>
  <c r="H68" i="3" s="1"/>
  <c r="AD68" i="3"/>
  <c r="AF68" i="3" s="1"/>
  <c r="AH68" i="3"/>
  <c r="AJ68" i="3" s="1"/>
  <c r="AL68" i="3"/>
  <c r="AN68" i="3" s="1"/>
  <c r="N68" i="3"/>
  <c r="P68" i="3" s="1"/>
  <c r="L104" i="2"/>
  <c r="N104" i="2"/>
  <c r="O104" i="2"/>
  <c r="M104" i="2"/>
  <c r="K104" i="2"/>
  <c r="G104" i="2"/>
  <c r="P104" i="2"/>
  <c r="H104" i="2"/>
  <c r="Q104" i="2"/>
  <c r="I104" i="2"/>
  <c r="J104" i="2"/>
  <c r="I105" i="2"/>
  <c r="L105" i="2"/>
  <c r="M105" i="2"/>
  <c r="K105" i="2"/>
  <c r="Q105" i="2"/>
  <c r="N105" i="2"/>
  <c r="O105" i="2"/>
  <c r="G105" i="2"/>
  <c r="P105" i="2"/>
  <c r="H105" i="2"/>
  <c r="J105" i="2"/>
  <c r="S21" i="3"/>
  <c r="T21" i="3" s="1"/>
  <c r="W21" i="3"/>
  <c r="X21" i="3" s="1"/>
  <c r="O21" i="3"/>
  <c r="P21" i="3" s="1"/>
  <c r="O66" i="18" l="1"/>
  <c r="O67" i="18" s="1"/>
  <c r="O66" i="15"/>
  <c r="O67" i="15" s="1"/>
  <c r="T15" i="2"/>
  <c r="J95" i="2"/>
  <c r="T16" i="2"/>
  <c r="J96" i="2"/>
  <c r="H99" i="2"/>
  <c r="K21" i="19" s="1"/>
  <c r="I99" i="2"/>
  <c r="O21" i="16" s="1"/>
  <c r="P99" i="2"/>
  <c r="AQ21" i="16" s="1"/>
  <c r="G99" i="2"/>
  <c r="C65" i="3"/>
  <c r="C66" i="3" s="1"/>
  <c r="C67" i="3" s="1"/>
  <c r="C17" i="18"/>
  <c r="N99" i="2"/>
  <c r="G17" i="15"/>
  <c r="G17" i="18"/>
  <c r="G65" i="3"/>
  <c r="Q99" i="2"/>
  <c r="K99" i="2"/>
  <c r="M99" i="2"/>
  <c r="O99" i="2"/>
  <c r="L99" i="2"/>
  <c r="J99" i="2"/>
  <c r="F99" i="2"/>
  <c r="C65" i="21"/>
  <c r="C17" i="21"/>
  <c r="C18" i="21" s="1"/>
  <c r="F106" i="2"/>
  <c r="C21" i="21" s="1"/>
  <c r="AE21" i="17"/>
  <c r="AF21" i="17" s="1"/>
  <c r="K21" i="3"/>
  <c r="L21" i="3" s="1"/>
  <c r="C65" i="20"/>
  <c r="C66" i="20" s="1"/>
  <c r="C67" i="20" s="1"/>
  <c r="C17" i="20"/>
  <c r="W66" i="17"/>
  <c r="W67" i="17" s="1"/>
  <c r="W70" i="17" s="1"/>
  <c r="W67" i="16"/>
  <c r="R14" i="2"/>
  <c r="W67" i="19"/>
  <c r="AE20" i="17"/>
  <c r="AF20" i="17" s="1"/>
  <c r="C20" i="17"/>
  <c r="C67" i="19"/>
  <c r="C70" i="19" s="1"/>
  <c r="G67" i="18"/>
  <c r="G70" i="18" s="1"/>
  <c r="G67" i="19"/>
  <c r="AQ67" i="16"/>
  <c r="K67" i="15"/>
  <c r="W19" i="17"/>
  <c r="C70" i="15"/>
  <c r="C70" i="16"/>
  <c r="O67" i="17"/>
  <c r="O70" i="17" s="1"/>
  <c r="O19" i="17"/>
  <c r="O20" i="17" s="1"/>
  <c r="P20" i="17" s="1"/>
  <c r="K67" i="18"/>
  <c r="AU66" i="17"/>
  <c r="AI66" i="17"/>
  <c r="G19" i="17"/>
  <c r="G20" i="17" s="1"/>
  <c r="H20" i="17" s="1"/>
  <c r="AE67" i="17"/>
  <c r="G67" i="16"/>
  <c r="C67" i="17"/>
  <c r="O70" i="16"/>
  <c r="AU18" i="17"/>
  <c r="AE67" i="16"/>
  <c r="S66" i="17"/>
  <c r="O70" i="15"/>
  <c r="K67" i="17"/>
  <c r="AQ67" i="17"/>
  <c r="AI18" i="17"/>
  <c r="S18" i="17"/>
  <c r="AQ19" i="17"/>
  <c r="AQ20" i="17" s="1"/>
  <c r="AR20" i="17" s="1"/>
  <c r="AQ70" i="19"/>
  <c r="AA66" i="17"/>
  <c r="G67" i="17"/>
  <c r="K19" i="17"/>
  <c r="K20" i="17" s="1"/>
  <c r="L20" i="17" s="1"/>
  <c r="AM18" i="17"/>
  <c r="AM19" i="17" s="1"/>
  <c r="AA18" i="17"/>
  <c r="C76" i="18"/>
  <c r="D76" i="18" s="1"/>
  <c r="AM66" i="17"/>
  <c r="K67" i="16"/>
  <c r="O67" i="19"/>
  <c r="AE67" i="19"/>
  <c r="K67" i="19"/>
  <c r="AQ21" i="19" l="1"/>
  <c r="W76" i="17"/>
  <c r="X76" i="17" s="1"/>
  <c r="W83" i="17"/>
  <c r="X83" i="17" s="1"/>
  <c r="W81" i="17"/>
  <c r="X81" i="17" s="1"/>
  <c r="W84" i="17"/>
  <c r="X84" i="17" s="1"/>
  <c r="U15" i="2"/>
  <c r="K95" i="2"/>
  <c r="C76" i="19"/>
  <c r="D76" i="19" s="1"/>
  <c r="C84" i="19"/>
  <c r="D84" i="19" s="1"/>
  <c r="C81" i="19"/>
  <c r="D81" i="19" s="1"/>
  <c r="C83" i="19"/>
  <c r="D83" i="19" s="1"/>
  <c r="U16" i="2"/>
  <c r="K96" i="2"/>
  <c r="O84" i="15"/>
  <c r="P84" i="15" s="1"/>
  <c r="O83" i="15"/>
  <c r="P83" i="15" s="1"/>
  <c r="O81" i="15"/>
  <c r="P81" i="15" s="1"/>
  <c r="O76" i="16"/>
  <c r="P76" i="16" s="1"/>
  <c r="O84" i="16"/>
  <c r="P84" i="16" s="1"/>
  <c r="O81" i="16"/>
  <c r="P81" i="16" s="1"/>
  <c r="O83" i="16"/>
  <c r="P83" i="16" s="1"/>
  <c r="AQ76" i="19"/>
  <c r="AR76" i="19" s="1"/>
  <c r="AQ84" i="19"/>
  <c r="AR84" i="19" s="1"/>
  <c r="AQ81" i="19"/>
  <c r="AR81" i="19" s="1"/>
  <c r="AQ83" i="19"/>
  <c r="AR83" i="19" s="1"/>
  <c r="C76" i="16"/>
  <c r="D76" i="16" s="1"/>
  <c r="C84" i="16"/>
  <c r="D84" i="16" s="1"/>
  <c r="C83" i="16"/>
  <c r="D83" i="16" s="1"/>
  <c r="C81" i="16"/>
  <c r="D81" i="16" s="1"/>
  <c r="C84" i="15"/>
  <c r="D84" i="15" s="1"/>
  <c r="C83" i="15"/>
  <c r="D83" i="15" s="1"/>
  <c r="C81" i="15"/>
  <c r="D81" i="15" s="1"/>
  <c r="G76" i="18"/>
  <c r="H76" i="18" s="1"/>
  <c r="G81" i="18"/>
  <c r="H81" i="18" s="1"/>
  <c r="G84" i="18"/>
  <c r="H84" i="18" s="1"/>
  <c r="G83" i="18"/>
  <c r="H83" i="18" s="1"/>
  <c r="O76" i="17"/>
  <c r="P76" i="17" s="1"/>
  <c r="O84" i="17"/>
  <c r="P84" i="17" s="1"/>
  <c r="O83" i="17"/>
  <c r="P83" i="17" s="1"/>
  <c r="O81" i="17"/>
  <c r="P81" i="17" s="1"/>
  <c r="S66" i="18"/>
  <c r="S66" i="15"/>
  <c r="K21" i="16"/>
  <c r="L21" i="16" s="1"/>
  <c r="O21" i="19"/>
  <c r="P21" i="19" s="1"/>
  <c r="C85" i="15"/>
  <c r="D85" i="15" s="1"/>
  <c r="C76" i="15"/>
  <c r="D76" i="15" s="1"/>
  <c r="O85" i="15"/>
  <c r="P85" i="15" s="1"/>
  <c r="O76" i="15"/>
  <c r="P76" i="15" s="1"/>
  <c r="AU21" i="19"/>
  <c r="AU21" i="16"/>
  <c r="C19" i="3"/>
  <c r="C18" i="15"/>
  <c r="C19" i="15" s="1"/>
  <c r="C20" i="15"/>
  <c r="C21" i="15" s="1"/>
  <c r="D21" i="15" s="1"/>
  <c r="G21" i="16"/>
  <c r="G21" i="19"/>
  <c r="H21" i="19" s="1"/>
  <c r="W21" i="16"/>
  <c r="X21" i="16" s="1"/>
  <c r="W21" i="19"/>
  <c r="G66" i="3"/>
  <c r="G67" i="3" s="1"/>
  <c r="G70" i="3" s="1"/>
  <c r="C21" i="16"/>
  <c r="C21" i="19"/>
  <c r="D21" i="19" s="1"/>
  <c r="G18" i="18"/>
  <c r="G19" i="18" s="1"/>
  <c r="G20" i="18" s="1"/>
  <c r="K17" i="15"/>
  <c r="K65" i="3"/>
  <c r="K17" i="18"/>
  <c r="S21" i="16"/>
  <c r="S21" i="19"/>
  <c r="G19" i="3"/>
  <c r="H20" i="3" s="1"/>
  <c r="C70" i="3"/>
  <c r="AA21" i="16"/>
  <c r="AA21" i="19"/>
  <c r="G18" i="15"/>
  <c r="G19" i="15" s="1"/>
  <c r="G20" i="15" s="1"/>
  <c r="AM21" i="16"/>
  <c r="AM21" i="19"/>
  <c r="AI21" i="16"/>
  <c r="AI21" i="19"/>
  <c r="AE21" i="16"/>
  <c r="AF21" i="16" s="1"/>
  <c r="AE21" i="19"/>
  <c r="AF21" i="19" s="1"/>
  <c r="C18" i="18"/>
  <c r="C20" i="18"/>
  <c r="C21" i="18" s="1"/>
  <c r="D21" i="18" s="1"/>
  <c r="C19" i="21"/>
  <c r="C20" i="21" s="1"/>
  <c r="C66" i="21"/>
  <c r="C21" i="20"/>
  <c r="AQ21" i="17"/>
  <c r="AR21" i="17" s="1"/>
  <c r="AR21" i="19"/>
  <c r="AE21" i="3"/>
  <c r="AF21" i="3" s="1"/>
  <c r="AR21" i="16"/>
  <c r="K21" i="17"/>
  <c r="L21" i="17" s="1"/>
  <c r="P21" i="16"/>
  <c r="L21" i="19"/>
  <c r="G21" i="17"/>
  <c r="H21" i="17" s="1"/>
  <c r="G21" i="3"/>
  <c r="H21" i="3" s="1"/>
  <c r="O21" i="17"/>
  <c r="P21" i="17" s="1"/>
  <c r="AE74" i="18"/>
  <c r="AF74" i="18" s="1"/>
  <c r="AE77" i="18"/>
  <c r="AF77" i="18" s="1"/>
  <c r="C21" i="17"/>
  <c r="D21" i="17" s="1"/>
  <c r="G82" i="18"/>
  <c r="H82" i="18" s="1"/>
  <c r="G79" i="18"/>
  <c r="H79" i="18" s="1"/>
  <c r="G85" i="18"/>
  <c r="H85" i="18" s="1"/>
  <c r="G74" i="18"/>
  <c r="H74" i="18" s="1"/>
  <c r="G77" i="18"/>
  <c r="H77" i="18" s="1"/>
  <c r="G80" i="18"/>
  <c r="H80" i="18" s="1"/>
  <c r="C70" i="20"/>
  <c r="C77" i="16"/>
  <c r="D77" i="16" s="1"/>
  <c r="C79" i="16"/>
  <c r="D79" i="16" s="1"/>
  <c r="C80" i="16"/>
  <c r="D80" i="16" s="1"/>
  <c r="C82" i="16"/>
  <c r="D82" i="16" s="1"/>
  <c r="C74" i="16"/>
  <c r="D74" i="16" s="1"/>
  <c r="C85" i="16"/>
  <c r="D85" i="16" s="1"/>
  <c r="W74" i="17"/>
  <c r="X74" i="17" s="1"/>
  <c r="W79" i="17"/>
  <c r="X79" i="17" s="1"/>
  <c r="W85" i="17"/>
  <c r="X85" i="17" s="1"/>
  <c r="W82" i="17"/>
  <c r="X82" i="17" s="1"/>
  <c r="W80" i="17"/>
  <c r="X80" i="17" s="1"/>
  <c r="W77" i="17"/>
  <c r="X77" i="17" s="1"/>
  <c r="C85" i="19"/>
  <c r="D85" i="19" s="1"/>
  <c r="C77" i="19"/>
  <c r="D77" i="19" s="1"/>
  <c r="C80" i="19"/>
  <c r="D80" i="19" s="1"/>
  <c r="C82" i="19"/>
  <c r="D82" i="19" s="1"/>
  <c r="C79" i="19"/>
  <c r="D79" i="19" s="1"/>
  <c r="C74" i="19"/>
  <c r="D74" i="19" s="1"/>
  <c r="C85" i="18"/>
  <c r="D85" i="18" s="1"/>
  <c r="C77" i="18"/>
  <c r="D77" i="18" s="1"/>
  <c r="C79" i="18"/>
  <c r="D79" i="18" s="1"/>
  <c r="C74" i="18"/>
  <c r="D74" i="18" s="1"/>
  <c r="C80" i="18"/>
  <c r="D80" i="18" s="1"/>
  <c r="C82" i="18"/>
  <c r="D82" i="18" s="1"/>
  <c r="O85" i="17"/>
  <c r="P85" i="17" s="1"/>
  <c r="O80" i="17"/>
  <c r="P80" i="17" s="1"/>
  <c r="O82" i="17"/>
  <c r="P82" i="17" s="1"/>
  <c r="O74" i="17"/>
  <c r="P74" i="17" s="1"/>
  <c r="O79" i="17"/>
  <c r="P79" i="17" s="1"/>
  <c r="O77" i="17"/>
  <c r="P77" i="17" s="1"/>
  <c r="D21" i="16"/>
  <c r="C21" i="3"/>
  <c r="D21" i="3" s="1"/>
  <c r="C18" i="20"/>
  <c r="C19" i="20" s="1"/>
  <c r="O85" i="16"/>
  <c r="P85" i="16" s="1"/>
  <c r="O79" i="16"/>
  <c r="P79" i="16" s="1"/>
  <c r="O82" i="16"/>
  <c r="P82" i="16" s="1"/>
  <c r="O77" i="16"/>
  <c r="P77" i="16" s="1"/>
  <c r="O80" i="16"/>
  <c r="P80" i="16" s="1"/>
  <c r="O74" i="16"/>
  <c r="P74" i="16" s="1"/>
  <c r="C79" i="15"/>
  <c r="D79" i="15" s="1"/>
  <c r="C77" i="15"/>
  <c r="D77" i="15" s="1"/>
  <c r="C80" i="15"/>
  <c r="D80" i="15" s="1"/>
  <c r="C74" i="15"/>
  <c r="D74" i="15" s="1"/>
  <c r="C82" i="15"/>
  <c r="D82" i="15" s="1"/>
  <c r="O80" i="15"/>
  <c r="P80" i="15" s="1"/>
  <c r="O77" i="15"/>
  <c r="P77" i="15" s="1"/>
  <c r="O74" i="15"/>
  <c r="P74" i="15" s="1"/>
  <c r="O82" i="15"/>
  <c r="P82" i="15" s="1"/>
  <c r="O79" i="15"/>
  <c r="P79" i="15" s="1"/>
  <c r="AQ85" i="19"/>
  <c r="AR85" i="19" s="1"/>
  <c r="AQ80" i="19"/>
  <c r="AR80" i="19" s="1"/>
  <c r="AQ77" i="19"/>
  <c r="AR77" i="19" s="1"/>
  <c r="AQ82" i="19"/>
  <c r="AR82" i="19" s="1"/>
  <c r="AQ79" i="19"/>
  <c r="AR79" i="19" s="1"/>
  <c r="AQ74" i="19"/>
  <c r="AR74" i="19" s="1"/>
  <c r="AE22" i="17"/>
  <c r="S14" i="2"/>
  <c r="W20" i="17"/>
  <c r="X20" i="17" s="1"/>
  <c r="AM20" i="17"/>
  <c r="AN20" i="17" s="1"/>
  <c r="D21" i="21"/>
  <c r="AA67" i="19"/>
  <c r="AA70" i="19" s="1"/>
  <c r="AA67" i="17"/>
  <c r="AA70" i="17" s="1"/>
  <c r="G70" i="19"/>
  <c r="AQ70" i="16"/>
  <c r="S67" i="15"/>
  <c r="S70" i="15" s="1"/>
  <c r="K70" i="15"/>
  <c r="AI19" i="17"/>
  <c r="K70" i="18"/>
  <c r="AU67" i="17"/>
  <c r="AE70" i="17"/>
  <c r="AQ22" i="17"/>
  <c r="G70" i="16"/>
  <c r="K70" i="17"/>
  <c r="AQ70" i="17"/>
  <c r="AE70" i="19"/>
  <c r="AE70" i="16"/>
  <c r="C70" i="17"/>
  <c r="O70" i="18"/>
  <c r="W70" i="19"/>
  <c r="S67" i="19"/>
  <c r="O22" i="17"/>
  <c r="G70" i="17"/>
  <c r="S67" i="17"/>
  <c r="G70" i="15"/>
  <c r="AU19" i="17"/>
  <c r="W70" i="16"/>
  <c r="AA19" i="17"/>
  <c r="S19" i="17"/>
  <c r="S20" i="17" s="1"/>
  <c r="T20" i="17" s="1"/>
  <c r="S67" i="18"/>
  <c r="AU67" i="16"/>
  <c r="AM67" i="16"/>
  <c r="K70" i="19"/>
  <c r="AM67" i="17"/>
  <c r="AU67" i="19"/>
  <c r="AM67" i="19"/>
  <c r="AI67" i="16"/>
  <c r="AI67" i="19"/>
  <c r="S67" i="16"/>
  <c r="AA67" i="16"/>
  <c r="AI67" i="17"/>
  <c r="K70" i="16"/>
  <c r="O70" i="19"/>
  <c r="K76" i="19" l="1"/>
  <c r="L76" i="19" s="1"/>
  <c r="K84" i="19"/>
  <c r="L84" i="19" s="1"/>
  <c r="K81" i="19"/>
  <c r="L81" i="19" s="1"/>
  <c r="K83" i="19"/>
  <c r="L83" i="19" s="1"/>
  <c r="G76" i="16"/>
  <c r="H76" i="16" s="1"/>
  <c r="G84" i="16"/>
  <c r="H84" i="16" s="1"/>
  <c r="G83" i="16"/>
  <c r="H83" i="16" s="1"/>
  <c r="G81" i="16"/>
  <c r="H81" i="16" s="1"/>
  <c r="AE76" i="17"/>
  <c r="AF76" i="17" s="1"/>
  <c r="AE83" i="17"/>
  <c r="AF83" i="17" s="1"/>
  <c r="AE81" i="17"/>
  <c r="AF81" i="17" s="1"/>
  <c r="AE84" i="17"/>
  <c r="AF84" i="17" s="1"/>
  <c r="C84" i="20"/>
  <c r="D84" i="20" s="1"/>
  <c r="C81" i="20"/>
  <c r="D81" i="20" s="1"/>
  <c r="C83" i="20"/>
  <c r="D83" i="20" s="1"/>
  <c r="G76" i="3"/>
  <c r="H76" i="3" s="1"/>
  <c r="G81" i="3"/>
  <c r="H81" i="3" s="1"/>
  <c r="G84" i="3"/>
  <c r="H84" i="3" s="1"/>
  <c r="G83" i="3"/>
  <c r="H83" i="3" s="1"/>
  <c r="G76" i="19"/>
  <c r="H76" i="19" s="1"/>
  <c r="G84" i="19"/>
  <c r="H84" i="19" s="1"/>
  <c r="G81" i="19"/>
  <c r="H81" i="19" s="1"/>
  <c r="G83" i="19"/>
  <c r="H83" i="19" s="1"/>
  <c r="AA76" i="19"/>
  <c r="AB76" i="19" s="1"/>
  <c r="AA84" i="19"/>
  <c r="AB84" i="19" s="1"/>
  <c r="AA81" i="19"/>
  <c r="AB81" i="19" s="1"/>
  <c r="AA83" i="19"/>
  <c r="AB83" i="19" s="1"/>
  <c r="C81" i="3"/>
  <c r="D81" i="3" s="1"/>
  <c r="C84" i="3"/>
  <c r="D84" i="3" s="1"/>
  <c r="C83" i="3"/>
  <c r="D83" i="3" s="1"/>
  <c r="W66" i="18"/>
  <c r="W66" i="15"/>
  <c r="V15" i="2"/>
  <c r="L95" i="2"/>
  <c r="AA76" i="17"/>
  <c r="AB76" i="17" s="1"/>
  <c r="AA81" i="17"/>
  <c r="AB81" i="17" s="1"/>
  <c r="AA84" i="17"/>
  <c r="AB84" i="17" s="1"/>
  <c r="AA83" i="17"/>
  <c r="AB83" i="17" s="1"/>
  <c r="G76" i="17"/>
  <c r="H76" i="17" s="1"/>
  <c r="G84" i="17"/>
  <c r="H84" i="17" s="1"/>
  <c r="G81" i="17"/>
  <c r="H81" i="17" s="1"/>
  <c r="G83" i="17"/>
  <c r="H83" i="17" s="1"/>
  <c r="C76" i="17"/>
  <c r="D76" i="17" s="1"/>
  <c r="C81" i="17"/>
  <c r="D81" i="17" s="1"/>
  <c r="C83" i="17"/>
  <c r="D83" i="17" s="1"/>
  <c r="C84" i="17"/>
  <c r="D84" i="17" s="1"/>
  <c r="K84" i="15"/>
  <c r="L84" i="15" s="1"/>
  <c r="K83" i="15"/>
  <c r="L83" i="15" s="1"/>
  <c r="K81" i="15"/>
  <c r="L81" i="15" s="1"/>
  <c r="V16" i="2"/>
  <c r="L96" i="2"/>
  <c r="K76" i="18"/>
  <c r="L76" i="18" s="1"/>
  <c r="K81" i="18"/>
  <c r="L81" i="18" s="1"/>
  <c r="K84" i="18"/>
  <c r="L84" i="18" s="1"/>
  <c r="K83" i="18"/>
  <c r="L83" i="18" s="1"/>
  <c r="W76" i="16"/>
  <c r="X76" i="16" s="1"/>
  <c r="W84" i="16"/>
  <c r="X84" i="16" s="1"/>
  <c r="W81" i="16"/>
  <c r="X81" i="16" s="1"/>
  <c r="W83" i="16"/>
  <c r="X83" i="16" s="1"/>
  <c r="O76" i="18"/>
  <c r="P76" i="18" s="1"/>
  <c r="O84" i="18"/>
  <c r="P84" i="18" s="1"/>
  <c r="O83" i="18"/>
  <c r="P83" i="18" s="1"/>
  <c r="O81" i="18"/>
  <c r="P81" i="18" s="1"/>
  <c r="AE76" i="19"/>
  <c r="AF76" i="19" s="1"/>
  <c r="AE84" i="19"/>
  <c r="AF84" i="19" s="1"/>
  <c r="AE81" i="19"/>
  <c r="AF81" i="19" s="1"/>
  <c r="AE83" i="19"/>
  <c r="AF83" i="19" s="1"/>
  <c r="W76" i="19"/>
  <c r="X76" i="19" s="1"/>
  <c r="W84" i="19"/>
  <c r="X84" i="19" s="1"/>
  <c r="W81" i="19"/>
  <c r="X81" i="19" s="1"/>
  <c r="W83" i="19"/>
  <c r="X83" i="19" s="1"/>
  <c r="AE76" i="16"/>
  <c r="AF76" i="16" s="1"/>
  <c r="AE84" i="16"/>
  <c r="AF84" i="16" s="1"/>
  <c r="AE83" i="16"/>
  <c r="AF83" i="16" s="1"/>
  <c r="AE81" i="16"/>
  <c r="AF81" i="16" s="1"/>
  <c r="K76" i="16"/>
  <c r="L76" i="16" s="1"/>
  <c r="K84" i="16"/>
  <c r="L84" i="16" s="1"/>
  <c r="K81" i="16"/>
  <c r="L81" i="16" s="1"/>
  <c r="K83" i="16"/>
  <c r="L83" i="16" s="1"/>
  <c r="AQ76" i="17"/>
  <c r="AR76" i="17" s="1"/>
  <c r="AQ84" i="17"/>
  <c r="AR84" i="17" s="1"/>
  <c r="AQ83" i="17"/>
  <c r="AR83" i="17" s="1"/>
  <c r="AQ81" i="17"/>
  <c r="AR81" i="17" s="1"/>
  <c r="S84" i="15"/>
  <c r="T84" i="15" s="1"/>
  <c r="S81" i="15"/>
  <c r="T81" i="15" s="1"/>
  <c r="S83" i="15"/>
  <c r="T83" i="15" s="1"/>
  <c r="O76" i="19"/>
  <c r="P76" i="19" s="1"/>
  <c r="O84" i="19"/>
  <c r="P84" i="19" s="1"/>
  <c r="O81" i="19"/>
  <c r="P81" i="19" s="1"/>
  <c r="O83" i="19"/>
  <c r="P83" i="19" s="1"/>
  <c r="G84" i="15"/>
  <c r="H84" i="15" s="1"/>
  <c r="G81" i="15"/>
  <c r="H81" i="15" s="1"/>
  <c r="G83" i="15"/>
  <c r="H83" i="15" s="1"/>
  <c r="K76" i="17"/>
  <c r="L76" i="17" s="1"/>
  <c r="K84" i="17"/>
  <c r="L84" i="17" s="1"/>
  <c r="K83" i="17"/>
  <c r="L83" i="17" s="1"/>
  <c r="K81" i="17"/>
  <c r="L81" i="17" s="1"/>
  <c r="AQ76" i="16"/>
  <c r="AR76" i="16" s="1"/>
  <c r="AQ84" i="16"/>
  <c r="AR84" i="16" s="1"/>
  <c r="AQ83" i="16"/>
  <c r="AR83" i="16" s="1"/>
  <c r="AQ81" i="16"/>
  <c r="AR81" i="16" s="1"/>
  <c r="C82" i="20"/>
  <c r="C76" i="20"/>
  <c r="D76" i="20" s="1"/>
  <c r="K85" i="15"/>
  <c r="L85" i="15" s="1"/>
  <c r="K76" i="15"/>
  <c r="L76" i="15" s="1"/>
  <c r="AE30" i="17"/>
  <c r="AF30" i="17" s="1"/>
  <c r="AE35" i="17"/>
  <c r="AF35" i="17" s="1"/>
  <c r="AE36" i="17"/>
  <c r="AF36" i="17" s="1"/>
  <c r="AE33" i="17"/>
  <c r="AF33" i="17" s="1"/>
  <c r="O36" i="17"/>
  <c r="P36" i="17" s="1"/>
  <c r="O33" i="17"/>
  <c r="P33" i="17" s="1"/>
  <c r="O30" i="17"/>
  <c r="P30" i="17" s="1"/>
  <c r="O35" i="17"/>
  <c r="P35" i="17" s="1"/>
  <c r="C79" i="3"/>
  <c r="D79" i="3" s="1"/>
  <c r="C76" i="3"/>
  <c r="D76" i="3" s="1"/>
  <c r="G85" i="15"/>
  <c r="H85" i="15" s="1"/>
  <c r="G76" i="15"/>
  <c r="H76" i="15" s="1"/>
  <c r="AQ30" i="17"/>
  <c r="AR30" i="17" s="1"/>
  <c r="AQ35" i="17"/>
  <c r="AR35" i="17" s="1"/>
  <c r="AQ33" i="17"/>
  <c r="AR33" i="17" s="1"/>
  <c r="AQ36" i="17"/>
  <c r="AR36" i="17" s="1"/>
  <c r="S85" i="15"/>
  <c r="T85" i="15" s="1"/>
  <c r="S76" i="15"/>
  <c r="T76" i="15" s="1"/>
  <c r="C79" i="20"/>
  <c r="G22" i="17"/>
  <c r="C80" i="3"/>
  <c r="D80" i="3" s="1"/>
  <c r="C74" i="3"/>
  <c r="D74" i="3" s="1"/>
  <c r="C82" i="3"/>
  <c r="D82" i="3" s="1"/>
  <c r="C77" i="3"/>
  <c r="D77" i="3" s="1"/>
  <c r="C85" i="3"/>
  <c r="D85" i="3" s="1"/>
  <c r="G21" i="15"/>
  <c r="H21" i="15" s="1"/>
  <c r="H20" i="15"/>
  <c r="G21" i="18"/>
  <c r="H21" i="18" s="1"/>
  <c r="H20" i="18"/>
  <c r="G79" i="3"/>
  <c r="H79" i="3" s="1"/>
  <c r="G85" i="3"/>
  <c r="H85" i="3" s="1"/>
  <c r="G82" i="3"/>
  <c r="H82" i="3" s="1"/>
  <c r="G74" i="3"/>
  <c r="H74" i="3" s="1"/>
  <c r="G80" i="3"/>
  <c r="H80" i="3" s="1"/>
  <c r="G77" i="3"/>
  <c r="H77" i="3" s="1"/>
  <c r="G22" i="3"/>
  <c r="K18" i="18"/>
  <c r="K19" i="18" s="1"/>
  <c r="K20" i="18" s="1"/>
  <c r="K66" i="3"/>
  <c r="K67" i="3" s="1"/>
  <c r="K70" i="3" s="1"/>
  <c r="O17" i="15"/>
  <c r="O65" i="3"/>
  <c r="O17" i="18"/>
  <c r="K19" i="3"/>
  <c r="L20" i="3" s="1"/>
  <c r="K18" i="15"/>
  <c r="K19" i="15" s="1"/>
  <c r="C77" i="20"/>
  <c r="C74" i="20"/>
  <c r="C80" i="20"/>
  <c r="K22" i="17"/>
  <c r="C85" i="20"/>
  <c r="C67" i="21"/>
  <c r="C70" i="21" s="1"/>
  <c r="C20" i="20"/>
  <c r="C22" i="18"/>
  <c r="AB21" i="16"/>
  <c r="AJ21" i="19"/>
  <c r="AN21" i="16"/>
  <c r="AV21" i="19"/>
  <c r="AM21" i="17"/>
  <c r="AN21" i="17" s="1"/>
  <c r="X21" i="19"/>
  <c r="S21" i="17"/>
  <c r="T21" i="17" s="1"/>
  <c r="AA21" i="3"/>
  <c r="AB21" i="3" s="1"/>
  <c r="T21" i="19"/>
  <c r="AV21" i="16"/>
  <c r="W21" i="17"/>
  <c r="X21" i="17" s="1"/>
  <c r="T21" i="16"/>
  <c r="AB21" i="19"/>
  <c r="AJ21" i="16"/>
  <c r="AQ21" i="3"/>
  <c r="AN21" i="19"/>
  <c r="AI21" i="3"/>
  <c r="AJ21" i="3" s="1"/>
  <c r="H21" i="16"/>
  <c r="AE34" i="17"/>
  <c r="AF34" i="17" s="1"/>
  <c r="AE27" i="17"/>
  <c r="AF27" i="17" s="1"/>
  <c r="AE28" i="17"/>
  <c r="AF28" i="17" s="1"/>
  <c r="AE31" i="17"/>
  <c r="AF31" i="17" s="1"/>
  <c r="AE32" i="17"/>
  <c r="AF32" i="17" s="1"/>
  <c r="AE37" i="17"/>
  <c r="AF37" i="17" s="1"/>
  <c r="G34" i="17"/>
  <c r="H34" i="17" s="1"/>
  <c r="G28" i="17"/>
  <c r="H28" i="17" s="1"/>
  <c r="G31" i="17"/>
  <c r="H31" i="17" s="1"/>
  <c r="G37" i="17"/>
  <c r="H37" i="17" s="1"/>
  <c r="G32" i="17"/>
  <c r="H32" i="17" s="1"/>
  <c r="G27" i="17"/>
  <c r="H27" i="17" s="1"/>
  <c r="O27" i="17"/>
  <c r="P27" i="17" s="1"/>
  <c r="O32" i="17"/>
  <c r="P32" i="17" s="1"/>
  <c r="O34" i="17"/>
  <c r="P34" i="17" s="1"/>
  <c r="O31" i="17"/>
  <c r="P31" i="17" s="1"/>
  <c r="O37" i="17"/>
  <c r="P37" i="17" s="1"/>
  <c r="O28" i="17"/>
  <c r="P28" i="17" s="1"/>
  <c r="AQ77" i="18"/>
  <c r="AR77" i="18" s="1"/>
  <c r="AQ74" i="18"/>
  <c r="AR74" i="18" s="1"/>
  <c r="C27" i="18"/>
  <c r="D27" i="18" s="1"/>
  <c r="C28" i="18"/>
  <c r="D28" i="18" s="1"/>
  <c r="C31" i="18"/>
  <c r="D31" i="18" s="1"/>
  <c r="C32" i="18"/>
  <c r="D32" i="18" s="1"/>
  <c r="C37" i="18"/>
  <c r="D37" i="18" s="1"/>
  <c r="C34" i="18"/>
  <c r="D34" i="18" s="1"/>
  <c r="C22" i="15"/>
  <c r="K82" i="17"/>
  <c r="L82" i="17" s="1"/>
  <c r="K80" i="17"/>
  <c r="L80" i="17" s="1"/>
  <c r="K74" i="17"/>
  <c r="L74" i="17" s="1"/>
  <c r="K85" i="17"/>
  <c r="L85" i="17" s="1"/>
  <c r="K79" i="17"/>
  <c r="L79" i="17" s="1"/>
  <c r="K77" i="17"/>
  <c r="L77" i="17" s="1"/>
  <c r="AQ32" i="17"/>
  <c r="AR32" i="17" s="1"/>
  <c r="AQ31" i="17"/>
  <c r="AR31" i="17" s="1"/>
  <c r="AQ28" i="17"/>
  <c r="AR28" i="17" s="1"/>
  <c r="AQ37" i="17"/>
  <c r="AR37" i="17" s="1"/>
  <c r="AQ27" i="17"/>
  <c r="AR27" i="17" s="1"/>
  <c r="AQ34" i="17"/>
  <c r="AR34" i="17" s="1"/>
  <c r="G82" i="17"/>
  <c r="H82" i="17" s="1"/>
  <c r="G85" i="17"/>
  <c r="H85" i="17" s="1"/>
  <c r="G80" i="17"/>
  <c r="H80" i="17" s="1"/>
  <c r="G74" i="17"/>
  <c r="H74" i="17" s="1"/>
  <c r="G79" i="17"/>
  <c r="H79" i="17" s="1"/>
  <c r="G77" i="17"/>
  <c r="H77" i="17" s="1"/>
  <c r="O82" i="18"/>
  <c r="P82" i="18" s="1"/>
  <c r="O80" i="18"/>
  <c r="P80" i="18" s="1"/>
  <c r="O85" i="18"/>
  <c r="P85" i="18" s="1"/>
  <c r="O79" i="18"/>
  <c r="P79" i="18" s="1"/>
  <c r="O77" i="18"/>
  <c r="P77" i="18" s="1"/>
  <c r="O74" i="18"/>
  <c r="P74" i="18" s="1"/>
  <c r="AI74" i="18"/>
  <c r="AJ74" i="18" s="1"/>
  <c r="AI77" i="18"/>
  <c r="AJ77" i="18" s="1"/>
  <c r="AQ85" i="17"/>
  <c r="AR85" i="17" s="1"/>
  <c r="AQ79" i="17"/>
  <c r="AR79" i="17" s="1"/>
  <c r="AQ80" i="17"/>
  <c r="AR80" i="17" s="1"/>
  <c r="AQ82" i="17"/>
  <c r="AR82" i="17" s="1"/>
  <c r="AQ77" i="17"/>
  <c r="AR77" i="17" s="1"/>
  <c r="AQ74" i="17"/>
  <c r="AR74" i="17" s="1"/>
  <c r="C74" i="17"/>
  <c r="D74" i="17" s="1"/>
  <c r="C85" i="17"/>
  <c r="D85" i="17" s="1"/>
  <c r="C82" i="17"/>
  <c r="D82" i="17" s="1"/>
  <c r="C80" i="17"/>
  <c r="D80" i="17" s="1"/>
  <c r="C79" i="17"/>
  <c r="D79" i="17" s="1"/>
  <c r="C77" i="17"/>
  <c r="D77" i="17" s="1"/>
  <c r="G85" i="16"/>
  <c r="H85" i="16" s="1"/>
  <c r="G82" i="16"/>
  <c r="H82" i="16" s="1"/>
  <c r="G77" i="16"/>
  <c r="H77" i="16" s="1"/>
  <c r="G79" i="16"/>
  <c r="H79" i="16" s="1"/>
  <c r="G80" i="16"/>
  <c r="H80" i="16" s="1"/>
  <c r="G74" i="16"/>
  <c r="H74" i="16" s="1"/>
  <c r="AM74" i="18"/>
  <c r="AN74" i="18" s="1"/>
  <c r="AM77" i="18"/>
  <c r="AN77" i="18" s="1"/>
  <c r="C22" i="17"/>
  <c r="AE82" i="17"/>
  <c r="AF82" i="17" s="1"/>
  <c r="AE80" i="17"/>
  <c r="AF80" i="17" s="1"/>
  <c r="AE79" i="17"/>
  <c r="AF79" i="17" s="1"/>
  <c r="AE85" i="17"/>
  <c r="AF85" i="17" s="1"/>
  <c r="AE74" i="17"/>
  <c r="AF74" i="17" s="1"/>
  <c r="AE77" i="17"/>
  <c r="AF77" i="17" s="1"/>
  <c r="W74" i="18"/>
  <c r="X74" i="18" s="1"/>
  <c r="W77" i="18"/>
  <c r="X77" i="18" s="1"/>
  <c r="K28" i="17"/>
  <c r="L28" i="17" s="1"/>
  <c r="K31" i="17"/>
  <c r="L31" i="17" s="1"/>
  <c r="K27" i="17"/>
  <c r="L27" i="17" s="1"/>
  <c r="K32" i="17"/>
  <c r="L32" i="17" s="1"/>
  <c r="K34" i="17"/>
  <c r="L34" i="17" s="1"/>
  <c r="K37" i="17"/>
  <c r="L37" i="17" s="1"/>
  <c r="K85" i="18"/>
  <c r="L85" i="18" s="1"/>
  <c r="K80" i="18"/>
  <c r="L80" i="18" s="1"/>
  <c r="K74" i="18"/>
  <c r="L74" i="18" s="1"/>
  <c r="K79" i="18"/>
  <c r="L79" i="18" s="1"/>
  <c r="K77" i="18"/>
  <c r="L77" i="18" s="1"/>
  <c r="K82" i="18"/>
  <c r="L82" i="18" s="1"/>
  <c r="AA82" i="17"/>
  <c r="AB82" i="17" s="1"/>
  <c r="AA80" i="17"/>
  <c r="AB80" i="17" s="1"/>
  <c r="AA79" i="17"/>
  <c r="AB79" i="17" s="1"/>
  <c r="AA85" i="17"/>
  <c r="AB85" i="17" s="1"/>
  <c r="AA74" i="17"/>
  <c r="AB74" i="17" s="1"/>
  <c r="AA77" i="17"/>
  <c r="AB77" i="17" s="1"/>
  <c r="AQ74" i="16"/>
  <c r="AR74" i="16" s="1"/>
  <c r="AQ82" i="16"/>
  <c r="AR82" i="16" s="1"/>
  <c r="AQ85" i="16"/>
  <c r="AR85" i="16" s="1"/>
  <c r="AQ80" i="16"/>
  <c r="AR80" i="16" s="1"/>
  <c r="AQ77" i="16"/>
  <c r="AR77" i="16" s="1"/>
  <c r="AQ79" i="16"/>
  <c r="AR79" i="16" s="1"/>
  <c r="AE74" i="16"/>
  <c r="AF74" i="16" s="1"/>
  <c r="AE79" i="16"/>
  <c r="AF79" i="16" s="1"/>
  <c r="AE82" i="16"/>
  <c r="AF82" i="16" s="1"/>
  <c r="AE85" i="16"/>
  <c r="AF85" i="16" s="1"/>
  <c r="AE77" i="16"/>
  <c r="AF77" i="16" s="1"/>
  <c r="AE80" i="16"/>
  <c r="AF80" i="16" s="1"/>
  <c r="W77" i="16"/>
  <c r="X77" i="16" s="1"/>
  <c r="W79" i="16"/>
  <c r="X79" i="16" s="1"/>
  <c r="W82" i="16"/>
  <c r="X82" i="16" s="1"/>
  <c r="W85" i="16"/>
  <c r="X85" i="16" s="1"/>
  <c r="W74" i="16"/>
  <c r="X74" i="16" s="1"/>
  <c r="W80" i="16"/>
  <c r="X80" i="16" s="1"/>
  <c r="K77" i="16"/>
  <c r="L77" i="16" s="1"/>
  <c r="K85" i="16"/>
  <c r="L85" i="16" s="1"/>
  <c r="K82" i="16"/>
  <c r="L82" i="16" s="1"/>
  <c r="K79" i="16"/>
  <c r="L79" i="16" s="1"/>
  <c r="K80" i="16"/>
  <c r="L80" i="16" s="1"/>
  <c r="K74" i="16"/>
  <c r="L74" i="16" s="1"/>
  <c r="G82" i="15"/>
  <c r="H82" i="15" s="1"/>
  <c r="G74" i="15"/>
  <c r="H74" i="15" s="1"/>
  <c r="G77" i="15"/>
  <c r="H77" i="15" s="1"/>
  <c r="G80" i="15"/>
  <c r="H80" i="15" s="1"/>
  <c r="G79" i="15"/>
  <c r="H79" i="15" s="1"/>
  <c r="W74" i="15"/>
  <c r="X74" i="15" s="1"/>
  <c r="W77" i="15"/>
  <c r="X77" i="15" s="1"/>
  <c r="K77" i="15"/>
  <c r="L77" i="15" s="1"/>
  <c r="K74" i="15"/>
  <c r="L74" i="15" s="1"/>
  <c r="K82" i="15"/>
  <c r="L82" i="15" s="1"/>
  <c r="K79" i="15"/>
  <c r="L79" i="15" s="1"/>
  <c r="K80" i="15"/>
  <c r="L80" i="15" s="1"/>
  <c r="S74" i="15"/>
  <c r="T74" i="15" s="1"/>
  <c r="S82" i="15"/>
  <c r="T82" i="15" s="1"/>
  <c r="S77" i="15"/>
  <c r="T77" i="15" s="1"/>
  <c r="S80" i="15"/>
  <c r="T80" i="15" s="1"/>
  <c r="S79" i="15"/>
  <c r="T79" i="15" s="1"/>
  <c r="AQ74" i="15"/>
  <c r="AR74" i="15" s="1"/>
  <c r="AQ77" i="15"/>
  <c r="AR77" i="15" s="1"/>
  <c r="AE77" i="15"/>
  <c r="AF77" i="15" s="1"/>
  <c r="AE74" i="15"/>
  <c r="AF74" i="15" s="1"/>
  <c r="AA85" i="19"/>
  <c r="AB85" i="19" s="1"/>
  <c r="AA77" i="19"/>
  <c r="AB77" i="19" s="1"/>
  <c r="AA80" i="19"/>
  <c r="AB80" i="19" s="1"/>
  <c r="AA82" i="19"/>
  <c r="AB82" i="19" s="1"/>
  <c r="AA74" i="19"/>
  <c r="AB74" i="19" s="1"/>
  <c r="AA79" i="19"/>
  <c r="AB79" i="19" s="1"/>
  <c r="O85" i="19"/>
  <c r="P85" i="19" s="1"/>
  <c r="O80" i="19"/>
  <c r="P80" i="19" s="1"/>
  <c r="O77" i="19"/>
  <c r="P77" i="19" s="1"/>
  <c r="O82" i="19"/>
  <c r="P82" i="19" s="1"/>
  <c r="O79" i="19"/>
  <c r="P79" i="19" s="1"/>
  <c r="O74" i="19"/>
  <c r="P74" i="19" s="1"/>
  <c r="G85" i="19"/>
  <c r="H85" i="19" s="1"/>
  <c r="G80" i="19"/>
  <c r="H80" i="19" s="1"/>
  <c r="G77" i="19"/>
  <c r="H77" i="19" s="1"/>
  <c r="G82" i="19"/>
  <c r="H82" i="19" s="1"/>
  <c r="G74" i="19"/>
  <c r="H74" i="19" s="1"/>
  <c r="G79" i="19"/>
  <c r="H79" i="19" s="1"/>
  <c r="W85" i="19"/>
  <c r="X85" i="19" s="1"/>
  <c r="W80" i="19"/>
  <c r="X80" i="19" s="1"/>
  <c r="W77" i="19"/>
  <c r="X77" i="19" s="1"/>
  <c r="W79" i="19"/>
  <c r="X79" i="19" s="1"/>
  <c r="W74" i="19"/>
  <c r="X74" i="19" s="1"/>
  <c r="W82" i="19"/>
  <c r="X82" i="19" s="1"/>
  <c r="AE85" i="19"/>
  <c r="AF85" i="19" s="1"/>
  <c r="AE80" i="19"/>
  <c r="AF80" i="19" s="1"/>
  <c r="AE77" i="19"/>
  <c r="AF77" i="19" s="1"/>
  <c r="AE79" i="19"/>
  <c r="AF79" i="19" s="1"/>
  <c r="AE82" i="19"/>
  <c r="AF82" i="19" s="1"/>
  <c r="AE74" i="19"/>
  <c r="AF74" i="19" s="1"/>
  <c r="K85" i="19"/>
  <c r="L85" i="19" s="1"/>
  <c r="K77" i="19"/>
  <c r="L77" i="19" s="1"/>
  <c r="K80" i="19"/>
  <c r="L80" i="19" s="1"/>
  <c r="K74" i="19"/>
  <c r="L74" i="19" s="1"/>
  <c r="K82" i="19"/>
  <c r="L82" i="19" s="1"/>
  <c r="K79" i="19"/>
  <c r="L79" i="19" s="1"/>
  <c r="G22" i="18"/>
  <c r="T14" i="2"/>
  <c r="AI20" i="17"/>
  <c r="AJ20" i="17" s="1"/>
  <c r="AU20" i="17"/>
  <c r="AA20" i="17"/>
  <c r="AB20" i="17" s="1"/>
  <c r="C22" i="21"/>
  <c r="S70" i="17"/>
  <c r="AU70" i="16"/>
  <c r="S70" i="19"/>
  <c r="AU70" i="17"/>
  <c r="S70" i="16"/>
  <c r="AI70" i="16"/>
  <c r="AI70" i="17"/>
  <c r="AM70" i="17"/>
  <c r="AM70" i="16"/>
  <c r="AI70" i="19"/>
  <c r="AA70" i="16"/>
  <c r="AM70" i="19"/>
  <c r="AU70" i="19"/>
  <c r="S70" i="18"/>
  <c r="C22" i="3"/>
  <c r="AA66" i="18" l="1"/>
  <c r="AA66" i="15"/>
  <c r="W15" i="2"/>
  <c r="M95" i="2"/>
  <c r="AM76" i="16"/>
  <c r="AN76" i="16" s="1"/>
  <c r="AM84" i="16"/>
  <c r="AN84" i="16" s="1"/>
  <c r="AM81" i="16"/>
  <c r="AN81" i="16" s="1"/>
  <c r="AM83" i="16"/>
  <c r="AN83" i="16" s="1"/>
  <c r="W67" i="15"/>
  <c r="W70" i="15"/>
  <c r="W67" i="18"/>
  <c r="W70" i="18"/>
  <c r="AU76" i="16"/>
  <c r="AV76" i="16" s="1"/>
  <c r="AU84" i="16"/>
  <c r="AV84" i="16" s="1"/>
  <c r="AU83" i="16"/>
  <c r="AV83" i="16" s="1"/>
  <c r="AU81" i="16"/>
  <c r="AV81" i="16" s="1"/>
  <c r="K76" i="3"/>
  <c r="L76" i="3" s="1"/>
  <c r="K84" i="3"/>
  <c r="L84" i="3" s="1"/>
  <c r="K81" i="3"/>
  <c r="L81" i="3" s="1"/>
  <c r="K83" i="3"/>
  <c r="L83" i="3" s="1"/>
  <c r="S76" i="16"/>
  <c r="T76" i="16" s="1"/>
  <c r="S84" i="16"/>
  <c r="T84" i="16" s="1"/>
  <c r="S83" i="16"/>
  <c r="T83" i="16" s="1"/>
  <c r="S81" i="16"/>
  <c r="T81" i="16" s="1"/>
  <c r="C76" i="21"/>
  <c r="D76" i="21" s="1"/>
  <c r="C84" i="21"/>
  <c r="D84" i="21" s="1"/>
  <c r="C83" i="21"/>
  <c r="D83" i="21" s="1"/>
  <c r="C81" i="21"/>
  <c r="D81" i="21" s="1"/>
  <c r="AI76" i="17"/>
  <c r="AJ76" i="17" s="1"/>
  <c r="AI83" i="17"/>
  <c r="AJ83" i="17" s="1"/>
  <c r="AI81" i="17"/>
  <c r="AJ81" i="17" s="1"/>
  <c r="AI84" i="17"/>
  <c r="AJ84" i="17" s="1"/>
  <c r="S76" i="17"/>
  <c r="T76" i="17" s="1"/>
  <c r="S83" i="17"/>
  <c r="T83" i="17" s="1"/>
  <c r="S84" i="17"/>
  <c r="T84" i="17" s="1"/>
  <c r="S81" i="17"/>
  <c r="T81" i="17" s="1"/>
  <c r="AI76" i="19"/>
  <c r="AJ76" i="19" s="1"/>
  <c r="AI84" i="19"/>
  <c r="AJ84" i="19" s="1"/>
  <c r="AI81" i="19"/>
  <c r="AJ81" i="19" s="1"/>
  <c r="AI83" i="19"/>
  <c r="AJ83" i="19" s="1"/>
  <c r="AM76" i="17"/>
  <c r="AN76" i="17" s="1"/>
  <c r="AM84" i="17"/>
  <c r="AN84" i="17" s="1"/>
  <c r="AM83" i="17"/>
  <c r="AN83" i="17" s="1"/>
  <c r="AM81" i="17"/>
  <c r="AN81" i="17" s="1"/>
  <c r="AI76" i="16"/>
  <c r="AJ76" i="16" s="1"/>
  <c r="AI84" i="16"/>
  <c r="AJ84" i="16" s="1"/>
  <c r="AI83" i="16"/>
  <c r="AJ83" i="16" s="1"/>
  <c r="AI81" i="16"/>
  <c r="AJ81" i="16" s="1"/>
  <c r="S76" i="18"/>
  <c r="T76" i="18" s="1"/>
  <c r="S81" i="18"/>
  <c r="T81" i="18" s="1"/>
  <c r="S83" i="18"/>
  <c r="T83" i="18" s="1"/>
  <c r="S84" i="18"/>
  <c r="T84" i="18" s="1"/>
  <c r="AU76" i="19"/>
  <c r="AV76" i="19" s="1"/>
  <c r="AU84" i="19"/>
  <c r="AV84" i="19" s="1"/>
  <c r="AU81" i="19"/>
  <c r="AV81" i="19" s="1"/>
  <c r="AU83" i="19"/>
  <c r="AV83" i="19" s="1"/>
  <c r="AU76" i="17"/>
  <c r="AV76" i="17" s="1"/>
  <c r="AU83" i="17"/>
  <c r="AV83" i="17" s="1"/>
  <c r="AU81" i="17"/>
  <c r="AV81" i="17" s="1"/>
  <c r="AU84" i="17"/>
  <c r="AV84" i="17" s="1"/>
  <c r="W16" i="2"/>
  <c r="M96" i="2"/>
  <c r="AM76" i="19"/>
  <c r="AN76" i="19" s="1"/>
  <c r="AM84" i="19"/>
  <c r="AN84" i="19" s="1"/>
  <c r="AM81" i="19"/>
  <c r="AN81" i="19" s="1"/>
  <c r="AM83" i="19"/>
  <c r="AN83" i="19" s="1"/>
  <c r="AA76" i="16"/>
  <c r="AB76" i="16" s="1"/>
  <c r="AA84" i="16"/>
  <c r="AB84" i="16" s="1"/>
  <c r="AA81" i="16"/>
  <c r="AB81" i="16" s="1"/>
  <c r="AA83" i="16"/>
  <c r="AB83" i="16" s="1"/>
  <c r="S76" i="19"/>
  <c r="T76" i="19" s="1"/>
  <c r="S84" i="19"/>
  <c r="T84" i="19" s="1"/>
  <c r="S81" i="19"/>
  <c r="T81" i="19" s="1"/>
  <c r="S83" i="19"/>
  <c r="T83" i="19" s="1"/>
  <c r="C35" i="17"/>
  <c r="D35" i="17" s="1"/>
  <c r="C36" i="17"/>
  <c r="D36" i="17" s="1"/>
  <c r="C33" i="17"/>
  <c r="D33" i="17" s="1"/>
  <c r="C30" i="17"/>
  <c r="D30" i="17" s="1"/>
  <c r="K30" i="17"/>
  <c r="L30" i="17" s="1"/>
  <c r="K35" i="17"/>
  <c r="L35" i="17" s="1"/>
  <c r="K36" i="17"/>
  <c r="L36" i="17" s="1"/>
  <c r="K33" i="17"/>
  <c r="L33" i="17" s="1"/>
  <c r="G27" i="3"/>
  <c r="H27" i="3" s="1"/>
  <c r="G35" i="3"/>
  <c r="H35" i="3" s="1"/>
  <c r="G33" i="3"/>
  <c r="H33" i="3" s="1"/>
  <c r="G30" i="3"/>
  <c r="H30" i="3" s="1"/>
  <c r="G36" i="3"/>
  <c r="H36" i="3" s="1"/>
  <c r="C30" i="21"/>
  <c r="D30" i="21" s="1"/>
  <c r="C35" i="21"/>
  <c r="D35" i="21" s="1"/>
  <c r="C36" i="21"/>
  <c r="D36" i="21" s="1"/>
  <c r="C33" i="21"/>
  <c r="D33" i="21" s="1"/>
  <c r="G30" i="17"/>
  <c r="H30" i="17" s="1"/>
  <c r="G33" i="17"/>
  <c r="H33" i="17" s="1"/>
  <c r="G35" i="17"/>
  <c r="H35" i="17" s="1"/>
  <c r="G36" i="17"/>
  <c r="H36" i="17" s="1"/>
  <c r="G36" i="18"/>
  <c r="H36" i="18" s="1"/>
  <c r="G33" i="18"/>
  <c r="H33" i="18" s="1"/>
  <c r="G30" i="18"/>
  <c r="H30" i="18" s="1"/>
  <c r="G35" i="18"/>
  <c r="H35" i="18" s="1"/>
  <c r="C35" i="3"/>
  <c r="D35" i="3" s="1"/>
  <c r="C33" i="3"/>
  <c r="D33" i="3" s="1"/>
  <c r="C36" i="3"/>
  <c r="D36" i="3" s="1"/>
  <c r="C30" i="3"/>
  <c r="D30" i="3" s="1"/>
  <c r="G22" i="15"/>
  <c r="C32" i="15"/>
  <c r="D32" i="15" s="1"/>
  <c r="C36" i="15"/>
  <c r="D36" i="15" s="1"/>
  <c r="C33" i="15"/>
  <c r="D33" i="15" s="1"/>
  <c r="C30" i="15"/>
  <c r="D30" i="15" s="1"/>
  <c r="C35" i="15"/>
  <c r="D35" i="15" s="1"/>
  <c r="C36" i="18"/>
  <c r="D36" i="18" s="1"/>
  <c r="C35" i="18"/>
  <c r="D35" i="18" s="1"/>
  <c r="C33" i="18"/>
  <c r="D33" i="18" s="1"/>
  <c r="C30" i="18"/>
  <c r="D30" i="18" s="1"/>
  <c r="K21" i="18"/>
  <c r="L21" i="18" s="1"/>
  <c r="L20" i="18"/>
  <c r="K20" i="15"/>
  <c r="L20" i="15" s="1"/>
  <c r="K85" i="3"/>
  <c r="L85" i="3" s="1"/>
  <c r="K82" i="3"/>
  <c r="L82" i="3" s="1"/>
  <c r="K80" i="3"/>
  <c r="L80" i="3" s="1"/>
  <c r="K74" i="3"/>
  <c r="L74" i="3" s="1"/>
  <c r="K77" i="3"/>
  <c r="L77" i="3" s="1"/>
  <c r="K79" i="3"/>
  <c r="L79" i="3" s="1"/>
  <c r="K22" i="3"/>
  <c r="O18" i="18"/>
  <c r="O19" i="18" s="1"/>
  <c r="O20" i="18" s="1"/>
  <c r="P20" i="18" s="1"/>
  <c r="O66" i="3"/>
  <c r="O67" i="3" s="1"/>
  <c r="O70" i="3" s="1"/>
  <c r="O19" i="3"/>
  <c r="P20" i="3" s="1"/>
  <c r="O18" i="15"/>
  <c r="O19" i="15" s="1"/>
  <c r="O20" i="15" s="1"/>
  <c r="G37" i="3"/>
  <c r="H37" i="3" s="1"/>
  <c r="G31" i="3"/>
  <c r="H31" i="3" s="1"/>
  <c r="S17" i="15"/>
  <c r="S65" i="3"/>
  <c r="S17" i="18"/>
  <c r="G34" i="3"/>
  <c r="H34" i="3" s="1"/>
  <c r="W22" i="17"/>
  <c r="G28" i="3"/>
  <c r="H28" i="3" s="1"/>
  <c r="G32" i="3"/>
  <c r="H32" i="3" s="1"/>
  <c r="C80" i="21"/>
  <c r="D80" i="21" s="1"/>
  <c r="C74" i="21"/>
  <c r="D74" i="21" s="1"/>
  <c r="C79" i="21"/>
  <c r="D79" i="21" s="1"/>
  <c r="C82" i="21"/>
  <c r="D82" i="21" s="1"/>
  <c r="C85" i="21"/>
  <c r="D85" i="21" s="1"/>
  <c r="C77" i="21"/>
  <c r="D77" i="21" s="1"/>
  <c r="AM22" i="17"/>
  <c r="S22" i="17"/>
  <c r="C28" i="15"/>
  <c r="D28" i="15" s="1"/>
  <c r="C27" i="15"/>
  <c r="D27" i="15" s="1"/>
  <c r="C37" i="15"/>
  <c r="D37" i="15" s="1"/>
  <c r="C34" i="15"/>
  <c r="D34" i="15" s="1"/>
  <c r="C31" i="15"/>
  <c r="D31" i="15" s="1"/>
  <c r="AR21" i="3"/>
  <c r="AI21" i="17"/>
  <c r="AJ21" i="17" s="1"/>
  <c r="AV20" i="17"/>
  <c r="AU21" i="17"/>
  <c r="AV21" i="17" s="1"/>
  <c r="AU21" i="3"/>
  <c r="AV21" i="3" s="1"/>
  <c r="AM21" i="3"/>
  <c r="AN21" i="3" s="1"/>
  <c r="AA21" i="17"/>
  <c r="AB21" i="17" s="1"/>
  <c r="D21" i="20"/>
  <c r="C22" i="20"/>
  <c r="AI79" i="17"/>
  <c r="AJ79" i="17" s="1"/>
  <c r="AI74" i="17"/>
  <c r="AJ74" i="17" s="1"/>
  <c r="AI80" i="17"/>
  <c r="AJ80" i="17" s="1"/>
  <c r="AI85" i="17"/>
  <c r="AJ85" i="17" s="1"/>
  <c r="AI82" i="17"/>
  <c r="AJ82" i="17" s="1"/>
  <c r="AI77" i="17"/>
  <c r="AJ77" i="17" s="1"/>
  <c r="AU79" i="17"/>
  <c r="AV79" i="17" s="1"/>
  <c r="AU82" i="17"/>
  <c r="AV82" i="17" s="1"/>
  <c r="AU74" i="17"/>
  <c r="AV74" i="17" s="1"/>
  <c r="AU80" i="17"/>
  <c r="AV80" i="17" s="1"/>
  <c r="AU85" i="17"/>
  <c r="AV85" i="17" s="1"/>
  <c r="AU77" i="17"/>
  <c r="AV77" i="17" s="1"/>
  <c r="S77" i="18"/>
  <c r="T77" i="18" s="1"/>
  <c r="S82" i="18"/>
  <c r="T82" i="18" s="1"/>
  <c r="S74" i="18"/>
  <c r="T74" i="18" s="1"/>
  <c r="S80" i="18"/>
  <c r="T80" i="18" s="1"/>
  <c r="S85" i="18"/>
  <c r="T85" i="18" s="1"/>
  <c r="S79" i="18"/>
  <c r="T79" i="18" s="1"/>
  <c r="AA74" i="18"/>
  <c r="AB74" i="18" s="1"/>
  <c r="AA77" i="18"/>
  <c r="AB77" i="18" s="1"/>
  <c r="AU74" i="18"/>
  <c r="AV74" i="18" s="1"/>
  <c r="AU77" i="18"/>
  <c r="AV77" i="18" s="1"/>
  <c r="C28" i="17"/>
  <c r="D28" i="17" s="1"/>
  <c r="C27" i="17"/>
  <c r="D27" i="17" s="1"/>
  <c r="C32" i="17"/>
  <c r="D32" i="17" s="1"/>
  <c r="C37" i="17"/>
  <c r="D37" i="17" s="1"/>
  <c r="C34" i="17"/>
  <c r="D34" i="17" s="1"/>
  <c r="C31" i="17"/>
  <c r="D31" i="17" s="1"/>
  <c r="AM74" i="17"/>
  <c r="AN74" i="17" s="1"/>
  <c r="AM80" i="17"/>
  <c r="AN80" i="17" s="1"/>
  <c r="AM79" i="17"/>
  <c r="AN79" i="17" s="1"/>
  <c r="AM82" i="17"/>
  <c r="AN82" i="17" s="1"/>
  <c r="AM85" i="17"/>
  <c r="AN85" i="17" s="1"/>
  <c r="AM77" i="17"/>
  <c r="AN77" i="17" s="1"/>
  <c r="G37" i="18"/>
  <c r="H37" i="18" s="1"/>
  <c r="G34" i="18"/>
  <c r="H34" i="18" s="1"/>
  <c r="G27" i="18"/>
  <c r="H27" i="18" s="1"/>
  <c r="G31" i="18"/>
  <c r="H31" i="18" s="1"/>
  <c r="G28" i="18"/>
  <c r="H28" i="18" s="1"/>
  <c r="G32" i="18"/>
  <c r="H32" i="18" s="1"/>
  <c r="C27" i="21"/>
  <c r="D27" i="21" s="1"/>
  <c r="C34" i="21"/>
  <c r="D34" i="21" s="1"/>
  <c r="C28" i="21"/>
  <c r="D28" i="21" s="1"/>
  <c r="C32" i="21"/>
  <c r="D32" i="21" s="1"/>
  <c r="C37" i="21"/>
  <c r="D37" i="21" s="1"/>
  <c r="C31" i="21"/>
  <c r="D31" i="21" s="1"/>
  <c r="S79" i="17"/>
  <c r="T79" i="17" s="1"/>
  <c r="S80" i="17"/>
  <c r="T80" i="17" s="1"/>
  <c r="S74" i="17"/>
  <c r="T74" i="17" s="1"/>
  <c r="S82" i="17"/>
  <c r="T82" i="17" s="1"/>
  <c r="S85" i="17"/>
  <c r="T85" i="17" s="1"/>
  <c r="S77" i="17"/>
  <c r="T77" i="17" s="1"/>
  <c r="G27" i="15"/>
  <c r="H27" i="15" s="1"/>
  <c r="G31" i="15"/>
  <c r="H31" i="15" s="1"/>
  <c r="G34" i="15"/>
  <c r="H34" i="15" s="1"/>
  <c r="G28" i="15"/>
  <c r="H28" i="15" s="1"/>
  <c r="G32" i="15"/>
  <c r="H32" i="15" s="1"/>
  <c r="AI79" i="16"/>
  <c r="AJ79" i="16" s="1"/>
  <c r="AI82" i="16"/>
  <c r="AJ82" i="16" s="1"/>
  <c r="AI80" i="16"/>
  <c r="AJ80" i="16" s="1"/>
  <c r="AI74" i="16"/>
  <c r="AJ74" i="16" s="1"/>
  <c r="AI77" i="16"/>
  <c r="AJ77" i="16" s="1"/>
  <c r="AI85" i="16"/>
  <c r="AJ85" i="16" s="1"/>
  <c r="AA79" i="16"/>
  <c r="AB79" i="16" s="1"/>
  <c r="AA82" i="16"/>
  <c r="AB82" i="16" s="1"/>
  <c r="AA80" i="16"/>
  <c r="AB80" i="16" s="1"/>
  <c r="AA74" i="16"/>
  <c r="AB74" i="16" s="1"/>
  <c r="AA77" i="16"/>
  <c r="AB77" i="16" s="1"/>
  <c r="AA85" i="16"/>
  <c r="AB85" i="16" s="1"/>
  <c r="S74" i="16"/>
  <c r="T74" i="16" s="1"/>
  <c r="S79" i="16"/>
  <c r="T79" i="16" s="1"/>
  <c r="S77" i="16"/>
  <c r="T77" i="16" s="1"/>
  <c r="S80" i="16"/>
  <c r="T80" i="16" s="1"/>
  <c r="S85" i="16"/>
  <c r="T85" i="16" s="1"/>
  <c r="S82" i="16"/>
  <c r="T82" i="16" s="1"/>
  <c r="C32" i="3"/>
  <c r="D32" i="3" s="1"/>
  <c r="C31" i="3"/>
  <c r="D31" i="3" s="1"/>
  <c r="C28" i="3"/>
  <c r="D28" i="3" s="1"/>
  <c r="C34" i="3"/>
  <c r="D34" i="3" s="1"/>
  <c r="C27" i="3"/>
  <c r="D27" i="3" s="1"/>
  <c r="C37" i="3"/>
  <c r="D37" i="3" s="1"/>
  <c r="AM77" i="16"/>
  <c r="AN77" i="16" s="1"/>
  <c r="AM74" i="16"/>
  <c r="AN74" i="16" s="1"/>
  <c r="AM82" i="16"/>
  <c r="AN82" i="16" s="1"/>
  <c r="AM80" i="16"/>
  <c r="AN80" i="16" s="1"/>
  <c r="AM79" i="16"/>
  <c r="AN79" i="16" s="1"/>
  <c r="AM85" i="16"/>
  <c r="AN85" i="16" s="1"/>
  <c r="AU79" i="16"/>
  <c r="AV79" i="16" s="1"/>
  <c r="AU82" i="16"/>
  <c r="AV82" i="16" s="1"/>
  <c r="AU77" i="16"/>
  <c r="AV77" i="16" s="1"/>
  <c r="AU85" i="16"/>
  <c r="AV85" i="16" s="1"/>
  <c r="AU80" i="16"/>
  <c r="AV80" i="16" s="1"/>
  <c r="AU74" i="16"/>
  <c r="AM77" i="15"/>
  <c r="AN77" i="15" s="1"/>
  <c r="AM74" i="15"/>
  <c r="AN74" i="15" s="1"/>
  <c r="G37" i="15"/>
  <c r="H37" i="15" s="1"/>
  <c r="AU77" i="15"/>
  <c r="AV77" i="15" s="1"/>
  <c r="AU74" i="15"/>
  <c r="AV74" i="15" s="1"/>
  <c r="AA77" i="15"/>
  <c r="AB77" i="15" s="1"/>
  <c r="AA74" i="15"/>
  <c r="AB74" i="15" s="1"/>
  <c r="AI77" i="15"/>
  <c r="AJ77" i="15" s="1"/>
  <c r="AI74" i="15"/>
  <c r="AJ74" i="15" s="1"/>
  <c r="S85" i="19"/>
  <c r="T85" i="19" s="1"/>
  <c r="S80" i="19"/>
  <c r="T80" i="19" s="1"/>
  <c r="S77" i="19"/>
  <c r="T77" i="19" s="1"/>
  <c r="S82" i="19"/>
  <c r="T82" i="19" s="1"/>
  <c r="S79" i="19"/>
  <c r="T79" i="19" s="1"/>
  <c r="S74" i="19"/>
  <c r="T74" i="19" s="1"/>
  <c r="AM85" i="19"/>
  <c r="AN85" i="19" s="1"/>
  <c r="AM80" i="19"/>
  <c r="AN80" i="19" s="1"/>
  <c r="AM77" i="19"/>
  <c r="AN77" i="19" s="1"/>
  <c r="AM79" i="19"/>
  <c r="AN79" i="19" s="1"/>
  <c r="AM74" i="19"/>
  <c r="AN74" i="19" s="1"/>
  <c r="AM82" i="19"/>
  <c r="AN82" i="19" s="1"/>
  <c r="AI85" i="19"/>
  <c r="AJ85" i="19" s="1"/>
  <c r="AI80" i="19"/>
  <c r="AJ80" i="19" s="1"/>
  <c r="AI77" i="19"/>
  <c r="AJ77" i="19" s="1"/>
  <c r="AI79" i="19"/>
  <c r="AJ79" i="19" s="1"/>
  <c r="AI74" i="19"/>
  <c r="AJ74" i="19" s="1"/>
  <c r="AI82" i="19"/>
  <c r="AJ82" i="19" s="1"/>
  <c r="AU85" i="19"/>
  <c r="AV85" i="19" s="1"/>
  <c r="AU80" i="19"/>
  <c r="AV80" i="19" s="1"/>
  <c r="AU77" i="19"/>
  <c r="AV77" i="19" s="1"/>
  <c r="AU82" i="19"/>
  <c r="AV82" i="19" s="1"/>
  <c r="AU74" i="19"/>
  <c r="AV74" i="19" s="1"/>
  <c r="AU79" i="19"/>
  <c r="AV79" i="19" s="1"/>
  <c r="D74" i="20"/>
  <c r="D80" i="20"/>
  <c r="D79" i="20"/>
  <c r="D85" i="20"/>
  <c r="D77" i="20"/>
  <c r="D82" i="20"/>
  <c r="U14" i="2"/>
  <c r="AU22" i="17"/>
  <c r="W84" i="15" l="1"/>
  <c r="X84" i="15" s="1"/>
  <c r="W81" i="15"/>
  <c r="X81" i="15" s="1"/>
  <c r="W83" i="15"/>
  <c r="X83" i="15" s="1"/>
  <c r="W79" i="15"/>
  <c r="X79" i="15" s="1"/>
  <c r="W80" i="15"/>
  <c r="X80" i="15" s="1"/>
  <c r="W82" i="15"/>
  <c r="X82" i="15" s="1"/>
  <c r="W85" i="15"/>
  <c r="X85" i="15" s="1"/>
  <c r="W76" i="15"/>
  <c r="X76" i="15" s="1"/>
  <c r="AE66" i="18"/>
  <c r="AE67" i="18" s="1"/>
  <c r="AE70" i="18" s="1"/>
  <c r="AE66" i="15"/>
  <c r="X15" i="2"/>
  <c r="N95" i="2"/>
  <c r="W76" i="18"/>
  <c r="X76" i="18" s="1"/>
  <c r="W84" i="18"/>
  <c r="X84" i="18" s="1"/>
  <c r="W81" i="18"/>
  <c r="X81" i="18" s="1"/>
  <c r="W83" i="18"/>
  <c r="X83" i="18" s="1"/>
  <c r="W79" i="18"/>
  <c r="X79" i="18" s="1"/>
  <c r="W85" i="18"/>
  <c r="X85" i="18" s="1"/>
  <c r="W82" i="18"/>
  <c r="X82" i="18" s="1"/>
  <c r="W80" i="18"/>
  <c r="X80" i="18" s="1"/>
  <c r="AA67" i="15"/>
  <c r="AA70" i="15"/>
  <c r="O76" i="3"/>
  <c r="P76" i="3" s="1"/>
  <c r="O84" i="3"/>
  <c r="P84" i="3" s="1"/>
  <c r="O83" i="3"/>
  <c r="P83" i="3" s="1"/>
  <c r="O81" i="3"/>
  <c r="P81" i="3" s="1"/>
  <c r="X16" i="2"/>
  <c r="N96" i="2"/>
  <c r="AA67" i="18"/>
  <c r="AA70" i="18"/>
  <c r="AV74" i="16"/>
  <c r="C28" i="20"/>
  <c r="D28" i="20" s="1"/>
  <c r="C36" i="20"/>
  <c r="D36" i="20" s="1"/>
  <c r="C35" i="20"/>
  <c r="D35" i="20" s="1"/>
  <c r="C30" i="20"/>
  <c r="D30" i="20" s="1"/>
  <c r="C33" i="20"/>
  <c r="D33" i="20" s="1"/>
  <c r="W32" i="17"/>
  <c r="X32" i="17" s="1"/>
  <c r="W35" i="17"/>
  <c r="X35" i="17" s="1"/>
  <c r="W33" i="17"/>
  <c r="X33" i="17" s="1"/>
  <c r="W30" i="17"/>
  <c r="X30" i="17" s="1"/>
  <c r="W36" i="17"/>
  <c r="X36" i="17" s="1"/>
  <c r="K35" i="3"/>
  <c r="L35" i="3" s="1"/>
  <c r="K33" i="3"/>
  <c r="L33" i="3" s="1"/>
  <c r="K30" i="3"/>
  <c r="L30" i="3" s="1"/>
  <c r="K36" i="3"/>
  <c r="L36" i="3" s="1"/>
  <c r="S37" i="17"/>
  <c r="T37" i="17" s="1"/>
  <c r="S35" i="17"/>
  <c r="T35" i="17" s="1"/>
  <c r="S36" i="17"/>
  <c r="T36" i="17" s="1"/>
  <c r="S33" i="17"/>
  <c r="T33" i="17" s="1"/>
  <c r="S30" i="17"/>
  <c r="T30" i="17" s="1"/>
  <c r="AM31" i="17"/>
  <c r="AN31" i="17" s="1"/>
  <c r="AM36" i="17"/>
  <c r="AN36" i="17" s="1"/>
  <c r="AM33" i="17"/>
  <c r="AN33" i="17" s="1"/>
  <c r="AM30" i="17"/>
  <c r="AN30" i="17" s="1"/>
  <c r="AM35" i="17"/>
  <c r="AN35" i="17" s="1"/>
  <c r="AU35" i="17"/>
  <c r="AV35" i="17" s="1"/>
  <c r="AU30" i="17"/>
  <c r="AV30" i="17" s="1"/>
  <c r="AU36" i="17"/>
  <c r="AV36" i="17" s="1"/>
  <c r="AU33" i="17"/>
  <c r="AV33" i="17" s="1"/>
  <c r="K22" i="18"/>
  <c r="K37" i="18" s="1"/>
  <c r="L37" i="18" s="1"/>
  <c r="G35" i="15"/>
  <c r="H35" i="15" s="1"/>
  <c r="G30" i="15"/>
  <c r="H30" i="15" s="1"/>
  <c r="G33" i="15"/>
  <c r="H33" i="15" s="1"/>
  <c r="G36" i="15"/>
  <c r="H36" i="15" s="1"/>
  <c r="S34" i="17"/>
  <c r="T34" i="17" s="1"/>
  <c r="S27" i="17"/>
  <c r="T27" i="17" s="1"/>
  <c r="AM34" i="17"/>
  <c r="AN34" i="17" s="1"/>
  <c r="S31" i="17"/>
  <c r="T31" i="17" s="1"/>
  <c r="S32" i="17"/>
  <c r="T32" i="17" s="1"/>
  <c r="S28" i="17"/>
  <c r="T28" i="17" s="1"/>
  <c r="K21" i="15"/>
  <c r="L21" i="15" s="1"/>
  <c r="AM28" i="17"/>
  <c r="AN28" i="17" s="1"/>
  <c r="AM27" i="17"/>
  <c r="AN27" i="17" s="1"/>
  <c r="AM37" i="17"/>
  <c r="AN37" i="17" s="1"/>
  <c r="AM32" i="17"/>
  <c r="AN32" i="17" s="1"/>
  <c r="O21" i="18"/>
  <c r="P21" i="18" s="1"/>
  <c r="O22" i="3"/>
  <c r="O74" i="3"/>
  <c r="P74" i="3" s="1"/>
  <c r="O82" i="3"/>
  <c r="P82" i="3" s="1"/>
  <c r="O79" i="3"/>
  <c r="P79" i="3" s="1"/>
  <c r="O80" i="3"/>
  <c r="P80" i="3" s="1"/>
  <c r="O77" i="3"/>
  <c r="P77" i="3" s="1"/>
  <c r="O85" i="3"/>
  <c r="P85" i="3" s="1"/>
  <c r="S18" i="18"/>
  <c r="S19" i="18" s="1"/>
  <c r="S20" i="18" s="1"/>
  <c r="T20" i="18" s="1"/>
  <c r="S66" i="3"/>
  <c r="W27" i="17"/>
  <c r="X27" i="17" s="1"/>
  <c r="S19" i="3"/>
  <c r="O27" i="3"/>
  <c r="P27" i="3" s="1"/>
  <c r="O37" i="3"/>
  <c r="P37" i="3" s="1"/>
  <c r="O28" i="3"/>
  <c r="P28" i="3" s="1"/>
  <c r="W28" i="17"/>
  <c r="X28" i="17" s="1"/>
  <c r="S18" i="15"/>
  <c r="S19" i="15" s="1"/>
  <c r="W31" i="17"/>
  <c r="X31" i="17" s="1"/>
  <c r="W37" i="17"/>
  <c r="X37" i="17" s="1"/>
  <c r="W65" i="3"/>
  <c r="W17" i="18"/>
  <c r="W17" i="15"/>
  <c r="W34" i="17"/>
  <c r="X34" i="17" s="1"/>
  <c r="K27" i="18"/>
  <c r="L27" i="18" s="1"/>
  <c r="O21" i="15"/>
  <c r="P21" i="15" s="1"/>
  <c r="P20" i="15"/>
  <c r="K32" i="3"/>
  <c r="L32" i="3" s="1"/>
  <c r="K31" i="3"/>
  <c r="L31" i="3" s="1"/>
  <c r="K34" i="3"/>
  <c r="L34" i="3" s="1"/>
  <c r="K27" i="3"/>
  <c r="L27" i="3" s="1"/>
  <c r="K37" i="3"/>
  <c r="L37" i="3" s="1"/>
  <c r="K28" i="3"/>
  <c r="L28" i="3" s="1"/>
  <c r="AI22" i="17"/>
  <c r="AA22" i="17"/>
  <c r="C34" i="20"/>
  <c r="D34" i="20" s="1"/>
  <c r="C32" i="20"/>
  <c r="D32" i="20" s="1"/>
  <c r="C37" i="20"/>
  <c r="D37" i="20" s="1"/>
  <c r="C31" i="20"/>
  <c r="D31" i="20" s="1"/>
  <c r="AU31" i="17"/>
  <c r="AV31" i="17" s="1"/>
  <c r="AU27" i="17"/>
  <c r="AV27" i="17" s="1"/>
  <c r="AU28" i="17"/>
  <c r="AV28" i="17" s="1"/>
  <c r="AU32" i="17"/>
  <c r="AV32" i="17" s="1"/>
  <c r="AU34" i="17"/>
  <c r="AV34" i="17" s="1"/>
  <c r="AU37" i="17"/>
  <c r="AV37" i="17" s="1"/>
  <c r="AI31" i="17"/>
  <c r="AJ31" i="17" s="1"/>
  <c r="AI27" i="17"/>
  <c r="AJ27" i="17" s="1"/>
  <c r="AI34" i="17"/>
  <c r="AJ34" i="17" s="1"/>
  <c r="AI28" i="17"/>
  <c r="AJ28" i="17" s="1"/>
  <c r="AI37" i="17"/>
  <c r="AJ37" i="17" s="1"/>
  <c r="AI32" i="17"/>
  <c r="AJ32" i="17" s="1"/>
  <c r="V14" i="2"/>
  <c r="AA84" i="15" l="1"/>
  <c r="AB84" i="15" s="1"/>
  <c r="AA83" i="15"/>
  <c r="AB83" i="15" s="1"/>
  <c r="AA81" i="15"/>
  <c r="AB81" i="15" s="1"/>
  <c r="AA80" i="15"/>
  <c r="AB80" i="15" s="1"/>
  <c r="AA82" i="15"/>
  <c r="AB82" i="15" s="1"/>
  <c r="AA79" i="15"/>
  <c r="AB79" i="15" s="1"/>
  <c r="AA85" i="15"/>
  <c r="AB85" i="15" s="1"/>
  <c r="AA76" i="15"/>
  <c r="AB76" i="15" s="1"/>
  <c r="AE67" i="15"/>
  <c r="AE70" i="15"/>
  <c r="AE76" i="18"/>
  <c r="AF76" i="18" s="1"/>
  <c r="AE84" i="18"/>
  <c r="AF84" i="18" s="1"/>
  <c r="AE83" i="18"/>
  <c r="AF83" i="18" s="1"/>
  <c r="AE81" i="18"/>
  <c r="AF81" i="18" s="1"/>
  <c r="AE79" i="18"/>
  <c r="AF79" i="18" s="1"/>
  <c r="AE82" i="18"/>
  <c r="AF82" i="18" s="1"/>
  <c r="AE85" i="18"/>
  <c r="AF85" i="18" s="1"/>
  <c r="AE80" i="18"/>
  <c r="AF80" i="18" s="1"/>
  <c r="Y15" i="2"/>
  <c r="O95" i="2"/>
  <c r="AI66" i="18"/>
  <c r="AI66" i="15"/>
  <c r="AA76" i="18"/>
  <c r="AB76" i="18" s="1"/>
  <c r="AA83" i="18"/>
  <c r="AB83" i="18" s="1"/>
  <c r="AA81" i="18"/>
  <c r="AB81" i="18" s="1"/>
  <c r="AA84" i="18"/>
  <c r="AB84" i="18" s="1"/>
  <c r="AA82" i="18"/>
  <c r="AB82" i="18" s="1"/>
  <c r="AA79" i="18"/>
  <c r="AB79" i="18" s="1"/>
  <c r="AA80" i="18"/>
  <c r="AB80" i="18" s="1"/>
  <c r="AA85" i="18"/>
  <c r="AB85" i="18" s="1"/>
  <c r="K31" i="18"/>
  <c r="L31" i="18" s="1"/>
  <c r="Y16" i="2"/>
  <c r="O96" i="2"/>
  <c r="K28" i="18"/>
  <c r="L28" i="18" s="1"/>
  <c r="K34" i="18"/>
  <c r="L34" i="18" s="1"/>
  <c r="K22" i="15"/>
  <c r="K30" i="15" s="1"/>
  <c r="L30" i="15" s="1"/>
  <c r="K32" i="18"/>
  <c r="L32" i="18" s="1"/>
  <c r="O32" i="3"/>
  <c r="P32" i="3" s="1"/>
  <c r="O35" i="3"/>
  <c r="P35" i="3" s="1"/>
  <c r="O33" i="3"/>
  <c r="P33" i="3" s="1"/>
  <c r="O30" i="3"/>
  <c r="P30" i="3" s="1"/>
  <c r="O36" i="3"/>
  <c r="P36" i="3" s="1"/>
  <c r="K33" i="18"/>
  <c r="L33" i="18" s="1"/>
  <c r="K30" i="18"/>
  <c r="L30" i="18" s="1"/>
  <c r="K35" i="18"/>
  <c r="L35" i="18" s="1"/>
  <c r="K36" i="18"/>
  <c r="L36" i="18" s="1"/>
  <c r="K35" i="15"/>
  <c r="L35" i="15" s="1"/>
  <c r="AA28" i="17"/>
  <c r="AB28" i="17" s="1"/>
  <c r="AA33" i="17"/>
  <c r="AB33" i="17" s="1"/>
  <c r="AA30" i="17"/>
  <c r="AB30" i="17" s="1"/>
  <c r="AA36" i="17"/>
  <c r="AB36" i="17" s="1"/>
  <c r="AA35" i="17"/>
  <c r="AB35" i="17" s="1"/>
  <c r="AI36" i="17"/>
  <c r="AJ36" i="17" s="1"/>
  <c r="AI33" i="17"/>
  <c r="AJ33" i="17" s="1"/>
  <c r="AI35" i="17"/>
  <c r="AJ35" i="17" s="1"/>
  <c r="AI30" i="17"/>
  <c r="AJ30" i="17" s="1"/>
  <c r="O22" i="18"/>
  <c r="O28" i="18" s="1"/>
  <c r="P28" i="18" s="1"/>
  <c r="O34" i="3"/>
  <c r="P34" i="3" s="1"/>
  <c r="O31" i="3"/>
  <c r="P31" i="3" s="1"/>
  <c r="W18" i="18"/>
  <c r="W19" i="18"/>
  <c r="W20" i="18" s="1"/>
  <c r="X20" i="18" s="1"/>
  <c r="S67" i="3"/>
  <c r="S70" i="3" s="1"/>
  <c r="W66" i="3"/>
  <c r="W67" i="3" s="1"/>
  <c r="W70" i="3" s="1"/>
  <c r="W19" i="3"/>
  <c r="X20" i="3" s="1"/>
  <c r="S21" i="18"/>
  <c r="T21" i="18" s="1"/>
  <c r="W18" i="15"/>
  <c r="W19" i="15"/>
  <c r="W20" i="15" s="1"/>
  <c r="K28" i="15"/>
  <c r="L28" i="15" s="1"/>
  <c r="K27" i="15"/>
  <c r="L27" i="15" s="1"/>
  <c r="O27" i="18"/>
  <c r="P27" i="18" s="1"/>
  <c r="AA17" i="15"/>
  <c r="AA65" i="3"/>
  <c r="AA17" i="18"/>
  <c r="AA37" i="17"/>
  <c r="AB37" i="17" s="1"/>
  <c r="S20" i="15"/>
  <c r="T20" i="15" s="1"/>
  <c r="T20" i="3"/>
  <c r="AA31" i="17"/>
  <c r="AB31" i="17" s="1"/>
  <c r="O22" i="15"/>
  <c r="AA32" i="17"/>
  <c r="AB32" i="17" s="1"/>
  <c r="AA34" i="17"/>
  <c r="AB34" i="17" s="1"/>
  <c r="AA27" i="17"/>
  <c r="AB27" i="17" s="1"/>
  <c r="W14" i="2"/>
  <c r="B68" i="17"/>
  <c r="D68" i="17" s="1"/>
  <c r="B20" i="17"/>
  <c r="D20" i="17" s="1"/>
  <c r="D20" i="21"/>
  <c r="B20" i="3"/>
  <c r="D20" i="3" s="1"/>
  <c r="D20" i="20"/>
  <c r="B68" i="3"/>
  <c r="D68" i="3" s="1"/>
  <c r="B65" i="17"/>
  <c r="D65" i="17" s="1"/>
  <c r="B17" i="17"/>
  <c r="D17" i="17" s="1"/>
  <c r="B17" i="3"/>
  <c r="D17" i="3" s="1"/>
  <c r="D17" i="20"/>
  <c r="D17" i="21"/>
  <c r="B65" i="3"/>
  <c r="D65" i="3" s="1"/>
  <c r="B66" i="17"/>
  <c r="D66" i="17" s="1"/>
  <c r="B18" i="3"/>
  <c r="D18" i="3" s="1"/>
  <c r="B18" i="17"/>
  <c r="D18" i="17" s="1"/>
  <c r="D18" i="20"/>
  <c r="D18" i="21"/>
  <c r="B66" i="3"/>
  <c r="D66" i="3" s="1"/>
  <c r="B19" i="17"/>
  <c r="D19" i="17" s="1"/>
  <c r="B67" i="17"/>
  <c r="D67" i="17" s="1"/>
  <c r="B19" i="3"/>
  <c r="D19" i="3" s="1"/>
  <c r="D19" i="20"/>
  <c r="D19" i="21"/>
  <c r="B67" i="3"/>
  <c r="D67" i="3" s="1"/>
  <c r="K33" i="15" l="1"/>
  <c r="L33" i="15" s="1"/>
  <c r="AI67" i="15"/>
  <c r="AI70" i="15"/>
  <c r="AE84" i="15"/>
  <c r="AF84" i="15" s="1"/>
  <c r="AE81" i="15"/>
  <c r="AF81" i="15" s="1"/>
  <c r="AE83" i="15"/>
  <c r="AF83" i="15" s="1"/>
  <c r="AE79" i="15"/>
  <c r="AF79" i="15" s="1"/>
  <c r="AE80" i="15"/>
  <c r="AF80" i="15" s="1"/>
  <c r="AE85" i="15"/>
  <c r="AF85" i="15" s="1"/>
  <c r="AE76" i="15"/>
  <c r="AF76" i="15" s="1"/>
  <c r="AE82" i="15"/>
  <c r="AF82" i="15" s="1"/>
  <c r="AI67" i="18"/>
  <c r="AI70" i="18" s="1"/>
  <c r="Z16" i="2"/>
  <c r="P96" i="2"/>
  <c r="AM66" i="18"/>
  <c r="AM67" i="18" s="1"/>
  <c r="AM70" i="18" s="1"/>
  <c r="AM66" i="15"/>
  <c r="Z15" i="2"/>
  <c r="P95" i="2"/>
  <c r="W76" i="3"/>
  <c r="X76" i="3" s="1"/>
  <c r="W84" i="3"/>
  <c r="X84" i="3" s="1"/>
  <c r="W83" i="3"/>
  <c r="X83" i="3" s="1"/>
  <c r="W81" i="3"/>
  <c r="X81" i="3" s="1"/>
  <c r="S76" i="3"/>
  <c r="T76" i="3" s="1"/>
  <c r="S81" i="3"/>
  <c r="T81" i="3" s="1"/>
  <c r="S83" i="3"/>
  <c r="T83" i="3" s="1"/>
  <c r="S84" i="3"/>
  <c r="T84" i="3" s="1"/>
  <c r="K34" i="15"/>
  <c r="L34" i="15" s="1"/>
  <c r="K32" i="15"/>
  <c r="L32" i="15" s="1"/>
  <c r="K36" i="15"/>
  <c r="L36" i="15" s="1"/>
  <c r="K31" i="15"/>
  <c r="L31" i="15" s="1"/>
  <c r="K37" i="15"/>
  <c r="L37" i="15" s="1"/>
  <c r="O32" i="18"/>
  <c r="P32" i="18" s="1"/>
  <c r="O36" i="18"/>
  <c r="P36" i="18" s="1"/>
  <c r="O35" i="18"/>
  <c r="P35" i="18" s="1"/>
  <c r="O30" i="18"/>
  <c r="P30" i="18" s="1"/>
  <c r="O33" i="18"/>
  <c r="P33" i="18" s="1"/>
  <c r="O37" i="18"/>
  <c r="P37" i="18" s="1"/>
  <c r="O34" i="18"/>
  <c r="P34" i="18" s="1"/>
  <c r="O31" i="18"/>
  <c r="P31" i="18" s="1"/>
  <c r="O35" i="15"/>
  <c r="P35" i="15" s="1"/>
  <c r="O36" i="15"/>
  <c r="P36" i="15" s="1"/>
  <c r="O33" i="15"/>
  <c r="P33" i="15" s="1"/>
  <c r="O30" i="15"/>
  <c r="P30" i="15" s="1"/>
  <c r="W21" i="18"/>
  <c r="X21" i="18" s="1"/>
  <c r="W21" i="15"/>
  <c r="X21" i="15" s="1"/>
  <c r="X20" i="15"/>
  <c r="W80" i="3"/>
  <c r="X80" i="3" s="1"/>
  <c r="W77" i="3"/>
  <c r="X77" i="3" s="1"/>
  <c r="W79" i="3"/>
  <c r="X79" i="3" s="1"/>
  <c r="W74" i="3"/>
  <c r="X74" i="3" s="1"/>
  <c r="W82" i="3"/>
  <c r="X82" i="3" s="1"/>
  <c r="W85" i="3"/>
  <c r="X85" i="3" s="1"/>
  <c r="S77" i="3"/>
  <c r="T77" i="3" s="1"/>
  <c r="S80" i="3"/>
  <c r="T80" i="3" s="1"/>
  <c r="S74" i="3"/>
  <c r="T74" i="3" s="1"/>
  <c r="S79" i="3"/>
  <c r="T79" i="3" s="1"/>
  <c r="S82" i="3"/>
  <c r="T82" i="3" s="1"/>
  <c r="S85" i="3"/>
  <c r="T85" i="3" s="1"/>
  <c r="W22" i="15"/>
  <c r="AA18" i="15"/>
  <c r="AA19" i="15" s="1"/>
  <c r="AA20" i="15" s="1"/>
  <c r="AE65" i="3"/>
  <c r="AE17" i="18"/>
  <c r="AE17" i="15"/>
  <c r="AA19" i="3"/>
  <c r="AB20" i="3" s="1"/>
  <c r="O32" i="15"/>
  <c r="P32" i="15" s="1"/>
  <c r="O34" i="15"/>
  <c r="P34" i="15" s="1"/>
  <c r="O28" i="15"/>
  <c r="P28" i="15" s="1"/>
  <c r="O27" i="15"/>
  <c r="P27" i="15" s="1"/>
  <c r="O31" i="15"/>
  <c r="P31" i="15" s="1"/>
  <c r="O37" i="15"/>
  <c r="P37" i="15" s="1"/>
  <c r="AA66" i="3"/>
  <c r="AA67" i="3" s="1"/>
  <c r="AA70" i="3" s="1"/>
  <c r="S22" i="18"/>
  <c r="W22" i="3"/>
  <c r="S22" i="3"/>
  <c r="AA18" i="18"/>
  <c r="AA19" i="18" s="1"/>
  <c r="S21" i="15"/>
  <c r="X14" i="2"/>
  <c r="F19" i="17"/>
  <c r="H19" i="17" s="1"/>
  <c r="F67" i="17"/>
  <c r="H67" i="17" s="1"/>
  <c r="F19" i="3"/>
  <c r="H19" i="3" s="1"/>
  <c r="F67" i="3"/>
  <c r="H67" i="3" s="1"/>
  <c r="F18" i="17"/>
  <c r="H18" i="17" s="1"/>
  <c r="F66" i="17"/>
  <c r="H66" i="17" s="1"/>
  <c r="F18" i="3"/>
  <c r="H18" i="3" s="1"/>
  <c r="F66" i="3"/>
  <c r="H66" i="3" s="1"/>
  <c r="F65" i="17"/>
  <c r="H65" i="17" s="1"/>
  <c r="F17" i="17"/>
  <c r="H17" i="17" s="1"/>
  <c r="F17" i="3"/>
  <c r="H17" i="3" s="1"/>
  <c r="F65" i="3"/>
  <c r="H65" i="3" s="1"/>
  <c r="AI76" i="18" l="1"/>
  <c r="AJ76" i="18" s="1"/>
  <c r="AI81" i="18"/>
  <c r="AJ81" i="18" s="1"/>
  <c r="AI84" i="18"/>
  <c r="AJ84" i="18" s="1"/>
  <c r="AI83" i="18"/>
  <c r="AJ83" i="18" s="1"/>
  <c r="AI79" i="18"/>
  <c r="AJ79" i="18" s="1"/>
  <c r="AI80" i="18"/>
  <c r="AJ80" i="18" s="1"/>
  <c r="AI85" i="18"/>
  <c r="AJ85" i="18" s="1"/>
  <c r="AI82" i="18"/>
  <c r="AJ82" i="18" s="1"/>
  <c r="AA76" i="3"/>
  <c r="AB76" i="3" s="1"/>
  <c r="AA81" i="3"/>
  <c r="AB81" i="3" s="1"/>
  <c r="AA84" i="3"/>
  <c r="AB84" i="3" s="1"/>
  <c r="AA83" i="3"/>
  <c r="AB83" i="3" s="1"/>
  <c r="AQ66" i="18"/>
  <c r="AQ66" i="15"/>
  <c r="AB15" i="2"/>
  <c r="AC15" i="2" s="1"/>
  <c r="AD15" i="2" s="1"/>
  <c r="AE15" i="2" s="1"/>
  <c r="AF15" i="2" s="1"/>
  <c r="AG15" i="2" s="1"/>
  <c r="AH15" i="2" s="1"/>
  <c r="AI15" i="2" s="1"/>
  <c r="AJ15" i="2" s="1"/>
  <c r="AK15" i="2" s="1"/>
  <c r="AL15" i="2" s="1"/>
  <c r="Q95" i="2"/>
  <c r="AM67" i="15"/>
  <c r="AM70" i="15" s="1"/>
  <c r="AM76" i="18"/>
  <c r="AN76" i="18" s="1"/>
  <c r="AM81" i="18"/>
  <c r="AN81" i="18" s="1"/>
  <c r="AM84" i="18"/>
  <c r="AN84" i="18" s="1"/>
  <c r="AM83" i="18"/>
  <c r="AN83" i="18" s="1"/>
  <c r="AM85" i="18"/>
  <c r="AN85" i="18" s="1"/>
  <c r="AM82" i="18"/>
  <c r="AN82" i="18" s="1"/>
  <c r="AM79" i="18"/>
  <c r="AN79" i="18" s="1"/>
  <c r="AM80" i="18"/>
  <c r="AN80" i="18" s="1"/>
  <c r="AI84" i="15"/>
  <c r="AJ84" i="15" s="1"/>
  <c r="AI81" i="15"/>
  <c r="AJ81" i="15" s="1"/>
  <c r="AI83" i="15"/>
  <c r="AJ83" i="15" s="1"/>
  <c r="AI80" i="15"/>
  <c r="AJ80" i="15" s="1"/>
  <c r="AI85" i="15"/>
  <c r="AJ85" i="15" s="1"/>
  <c r="AI76" i="15"/>
  <c r="AJ76" i="15" s="1"/>
  <c r="AI79" i="15"/>
  <c r="AJ79" i="15" s="1"/>
  <c r="AI82" i="15"/>
  <c r="AJ82" i="15" s="1"/>
  <c r="AB16" i="2"/>
  <c r="AC16" i="2" s="1"/>
  <c r="AD16" i="2" s="1"/>
  <c r="AE16" i="2" s="1"/>
  <c r="AF16" i="2" s="1"/>
  <c r="AG16" i="2" s="1"/>
  <c r="AH16" i="2" s="1"/>
  <c r="AI16" i="2" s="1"/>
  <c r="AJ16" i="2" s="1"/>
  <c r="AK16" i="2" s="1"/>
  <c r="AL16" i="2" s="1"/>
  <c r="Q96" i="2"/>
  <c r="W33" i="3"/>
  <c r="X33" i="3" s="1"/>
  <c r="W30" i="3"/>
  <c r="X30" i="3" s="1"/>
  <c r="W36" i="3"/>
  <c r="X36" i="3" s="1"/>
  <c r="W35" i="3"/>
  <c r="X35" i="3" s="1"/>
  <c r="S33" i="18"/>
  <c r="T33" i="18" s="1"/>
  <c r="S30" i="18"/>
  <c r="T30" i="18" s="1"/>
  <c r="S36" i="18"/>
  <c r="T36" i="18" s="1"/>
  <c r="S35" i="18"/>
  <c r="T35" i="18" s="1"/>
  <c r="W22" i="18"/>
  <c r="W32" i="18" s="1"/>
  <c r="X32" i="18" s="1"/>
  <c r="S35" i="3"/>
  <c r="T35" i="3" s="1"/>
  <c r="S33" i="3"/>
  <c r="T33" i="3" s="1"/>
  <c r="S30" i="3"/>
  <c r="T30" i="3" s="1"/>
  <c r="S36" i="3"/>
  <c r="T36" i="3" s="1"/>
  <c r="W30" i="15"/>
  <c r="X30" i="15" s="1"/>
  <c r="W33" i="15"/>
  <c r="X33" i="15" s="1"/>
  <c r="W35" i="15"/>
  <c r="X35" i="15" s="1"/>
  <c r="W36" i="15"/>
  <c r="X36" i="15" s="1"/>
  <c r="AA22" i="3"/>
  <c r="AA32" i="3" s="1"/>
  <c r="AB32" i="3" s="1"/>
  <c r="AA82" i="3"/>
  <c r="AB82" i="3" s="1"/>
  <c r="AA79" i="3"/>
  <c r="AB79" i="3" s="1"/>
  <c r="AA80" i="3"/>
  <c r="AB80" i="3" s="1"/>
  <c r="AA85" i="3"/>
  <c r="AB85" i="3" s="1"/>
  <c r="AA74" i="3"/>
  <c r="AB74" i="3" s="1"/>
  <c r="AA77" i="3"/>
  <c r="AB77" i="3" s="1"/>
  <c r="AE19" i="3"/>
  <c r="AF20" i="3" s="1"/>
  <c r="AA21" i="15"/>
  <c r="AB21" i="15" s="1"/>
  <c r="AB20" i="15"/>
  <c r="AE66" i="3"/>
  <c r="AE67" i="3" s="1"/>
  <c r="T21" i="15"/>
  <c r="S22" i="15"/>
  <c r="AE18" i="15"/>
  <c r="AE19" i="15" s="1"/>
  <c r="AE20" i="15" s="1"/>
  <c r="AF20" i="15" s="1"/>
  <c r="AE18" i="18"/>
  <c r="AE19" i="18" s="1"/>
  <c r="AE20" i="18"/>
  <c r="AF20" i="18" s="1"/>
  <c r="AI65" i="3"/>
  <c r="AI17" i="18"/>
  <c r="AI17" i="15"/>
  <c r="W27" i="18"/>
  <c r="X27" i="18" s="1"/>
  <c r="S28" i="3"/>
  <c r="T28" i="3" s="1"/>
  <c r="S37" i="3"/>
  <c r="T37" i="3" s="1"/>
  <c r="S34" i="3"/>
  <c r="T34" i="3" s="1"/>
  <c r="S32" i="3"/>
  <c r="T32" i="3" s="1"/>
  <c r="S31" i="3"/>
  <c r="T31" i="3" s="1"/>
  <c r="S27" i="3"/>
  <c r="T27" i="3" s="1"/>
  <c r="AA27" i="3"/>
  <c r="AB27" i="3" s="1"/>
  <c r="W28" i="15"/>
  <c r="X28" i="15" s="1"/>
  <c r="W31" i="15"/>
  <c r="X31" i="15" s="1"/>
  <c r="W32" i="15"/>
  <c r="X32" i="15" s="1"/>
  <c r="W37" i="15"/>
  <c r="X37" i="15" s="1"/>
  <c r="W34" i="15"/>
  <c r="X34" i="15" s="1"/>
  <c r="W27" i="15"/>
  <c r="X27" i="15" s="1"/>
  <c r="W34" i="3"/>
  <c r="X34" i="3" s="1"/>
  <c r="W28" i="3"/>
  <c r="X28" i="3" s="1"/>
  <c r="W27" i="3"/>
  <c r="X27" i="3" s="1"/>
  <c r="W32" i="3"/>
  <c r="X32" i="3" s="1"/>
  <c r="W31" i="3"/>
  <c r="X31" i="3" s="1"/>
  <c r="W37" i="3"/>
  <c r="X37" i="3" s="1"/>
  <c r="AA20" i="18"/>
  <c r="AA21" i="18" s="1"/>
  <c r="AB21" i="18" s="1"/>
  <c r="S34" i="18"/>
  <c r="T34" i="18" s="1"/>
  <c r="S31" i="18"/>
  <c r="T31" i="18" s="1"/>
  <c r="S32" i="18"/>
  <c r="T32" i="18" s="1"/>
  <c r="S27" i="18"/>
  <c r="T27" i="18" s="1"/>
  <c r="S28" i="18"/>
  <c r="T28" i="18" s="1"/>
  <c r="S37" i="18"/>
  <c r="T37" i="18" s="1"/>
  <c r="Y14" i="2"/>
  <c r="D22" i="20"/>
  <c r="D22" i="21"/>
  <c r="D14" i="3"/>
  <c r="D22" i="3" s="1"/>
  <c r="D62" i="17"/>
  <c r="D14" i="17"/>
  <c r="D22" i="17" s="1"/>
  <c r="D62" i="3"/>
  <c r="J65" i="17"/>
  <c r="L65" i="17" s="1"/>
  <c r="J17" i="3"/>
  <c r="L17" i="3" s="1"/>
  <c r="J17" i="17"/>
  <c r="L17" i="17" s="1"/>
  <c r="J65" i="3"/>
  <c r="L65" i="3" s="1"/>
  <c r="J18" i="17"/>
  <c r="L18" i="17" s="1"/>
  <c r="J66" i="17"/>
  <c r="L66" i="17" s="1"/>
  <c r="J18" i="3"/>
  <c r="L18" i="3" s="1"/>
  <c r="J66" i="3"/>
  <c r="L66" i="3" s="1"/>
  <c r="J19" i="17"/>
  <c r="L19" i="17" s="1"/>
  <c r="J67" i="17"/>
  <c r="L67" i="17" s="1"/>
  <c r="J19" i="3"/>
  <c r="L19" i="3" s="1"/>
  <c r="J67" i="3"/>
  <c r="L67" i="3" s="1"/>
  <c r="AM84" i="15" l="1"/>
  <c r="AN84" i="15" s="1"/>
  <c r="AM83" i="15"/>
  <c r="AN83" i="15" s="1"/>
  <c r="AM81" i="15"/>
  <c r="AN81" i="15" s="1"/>
  <c r="AM82" i="15"/>
  <c r="AN82" i="15" s="1"/>
  <c r="AM80" i="15"/>
  <c r="AN80" i="15" s="1"/>
  <c r="AM85" i="15"/>
  <c r="AN85" i="15" s="1"/>
  <c r="AM79" i="15"/>
  <c r="AN79" i="15" s="1"/>
  <c r="AM76" i="15"/>
  <c r="AN76" i="15" s="1"/>
  <c r="AU66" i="15"/>
  <c r="AU66" i="18"/>
  <c r="AQ67" i="15"/>
  <c r="AQ70" i="15" s="1"/>
  <c r="AQ67" i="18"/>
  <c r="AQ70" i="18" s="1"/>
  <c r="W31" i="18"/>
  <c r="X31" i="18" s="1"/>
  <c r="W34" i="18"/>
  <c r="X34" i="18" s="1"/>
  <c r="W37" i="18"/>
  <c r="X37" i="18" s="1"/>
  <c r="W28" i="18"/>
  <c r="X28" i="18" s="1"/>
  <c r="C25" i="20"/>
  <c r="D25" i="20" s="1"/>
  <c r="AA37" i="3"/>
  <c r="AB37" i="3" s="1"/>
  <c r="AA28" i="3"/>
  <c r="AB28" i="3" s="1"/>
  <c r="AA34" i="3"/>
  <c r="AB34" i="3" s="1"/>
  <c r="AA31" i="3"/>
  <c r="AB31" i="3" s="1"/>
  <c r="W36" i="18"/>
  <c r="X36" i="18" s="1"/>
  <c r="W33" i="18"/>
  <c r="X33" i="18" s="1"/>
  <c r="W35" i="18"/>
  <c r="X35" i="18" s="1"/>
  <c r="W30" i="18"/>
  <c r="X30" i="18" s="1"/>
  <c r="S36" i="15"/>
  <c r="T36" i="15" s="1"/>
  <c r="S33" i="15"/>
  <c r="T33" i="15" s="1"/>
  <c r="S30" i="15"/>
  <c r="T30" i="15" s="1"/>
  <c r="S35" i="15"/>
  <c r="T35" i="15" s="1"/>
  <c r="AA30" i="3"/>
  <c r="AB30" i="3" s="1"/>
  <c r="AA33" i="3"/>
  <c r="AB33" i="3" s="1"/>
  <c r="AA35" i="3"/>
  <c r="AB35" i="3" s="1"/>
  <c r="AA36" i="3"/>
  <c r="AB36" i="3" s="1"/>
  <c r="AE21" i="18"/>
  <c r="AF21" i="18" s="1"/>
  <c r="AE70" i="3"/>
  <c r="AE79" i="3" s="1"/>
  <c r="AF79" i="3" s="1"/>
  <c r="AE21" i="15"/>
  <c r="AF21" i="15" s="1"/>
  <c r="AE22" i="3"/>
  <c r="AA22" i="15"/>
  <c r="AI18" i="15"/>
  <c r="AI19" i="15"/>
  <c r="AI20" i="15" s="1"/>
  <c r="S27" i="15"/>
  <c r="T27" i="15" s="1"/>
  <c r="S31" i="15"/>
  <c r="T31" i="15" s="1"/>
  <c r="S28" i="15"/>
  <c r="T28" i="15" s="1"/>
  <c r="S32" i="15"/>
  <c r="T32" i="15" s="1"/>
  <c r="S34" i="15"/>
  <c r="T34" i="15" s="1"/>
  <c r="S37" i="15"/>
  <c r="T37" i="15" s="1"/>
  <c r="AI19" i="3"/>
  <c r="AJ20" i="3" s="1"/>
  <c r="AM17" i="18"/>
  <c r="AM65" i="3"/>
  <c r="AM17" i="15"/>
  <c r="AI18" i="18"/>
  <c r="AI19" i="18"/>
  <c r="AI20" i="18" s="1"/>
  <c r="AE77" i="3"/>
  <c r="AF77" i="3" s="1"/>
  <c r="AE74" i="3"/>
  <c r="AF74" i="3" s="1"/>
  <c r="AI66" i="3"/>
  <c r="AI67" i="3" s="1"/>
  <c r="AB20" i="18"/>
  <c r="AA22" i="18"/>
  <c r="C26" i="3"/>
  <c r="D26" i="3" s="1"/>
  <c r="C29" i="3"/>
  <c r="D29" i="3" s="1"/>
  <c r="C26" i="21"/>
  <c r="D26" i="21" s="1"/>
  <c r="C29" i="21"/>
  <c r="D29" i="21" s="1"/>
  <c r="S8" i="23"/>
  <c r="C26" i="17"/>
  <c r="D26" i="17" s="1"/>
  <c r="C29" i="17"/>
  <c r="D29" i="17" s="1"/>
  <c r="C29" i="20"/>
  <c r="D29" i="20" s="1"/>
  <c r="C26" i="20"/>
  <c r="D26" i="20" s="1"/>
  <c r="C27" i="20"/>
  <c r="D27" i="20" s="1"/>
  <c r="C8" i="23"/>
  <c r="R21" i="23"/>
  <c r="B21" i="23"/>
  <c r="Z14" i="2"/>
  <c r="D70" i="3"/>
  <c r="C75" i="3" s="1"/>
  <c r="D70" i="17"/>
  <c r="H14" i="3"/>
  <c r="H22" i="3" s="1"/>
  <c r="H62" i="17"/>
  <c r="H70" i="17" s="1"/>
  <c r="H14" i="17"/>
  <c r="H22" i="17" s="1"/>
  <c r="H62" i="3"/>
  <c r="H70" i="3" s="1"/>
  <c r="G75" i="3" s="1"/>
  <c r="N67" i="17"/>
  <c r="P67" i="17" s="1"/>
  <c r="N19" i="17"/>
  <c r="P19" i="17" s="1"/>
  <c r="N19" i="3"/>
  <c r="P19" i="3" s="1"/>
  <c r="N67" i="3"/>
  <c r="P67" i="3" s="1"/>
  <c r="N66" i="17"/>
  <c r="P66" i="17" s="1"/>
  <c r="N18" i="17"/>
  <c r="P18" i="17" s="1"/>
  <c r="N18" i="3"/>
  <c r="P18" i="3" s="1"/>
  <c r="N66" i="3"/>
  <c r="P66" i="3" s="1"/>
  <c r="N65" i="17"/>
  <c r="P65" i="17" s="1"/>
  <c r="N17" i="3"/>
  <c r="P17" i="3" s="1"/>
  <c r="N17" i="17"/>
  <c r="P17" i="17" s="1"/>
  <c r="N65" i="3"/>
  <c r="P65" i="3" s="1"/>
  <c r="AQ76" i="18" l="1"/>
  <c r="AR76" i="18" s="1"/>
  <c r="AQ81" i="18"/>
  <c r="AR81" i="18" s="1"/>
  <c r="AQ83" i="18"/>
  <c r="AR83" i="18" s="1"/>
  <c r="AQ84" i="18"/>
  <c r="AR84" i="18" s="1"/>
  <c r="AQ85" i="18"/>
  <c r="AR85" i="18" s="1"/>
  <c r="AQ82" i="18"/>
  <c r="AR82" i="18" s="1"/>
  <c r="AQ79" i="18"/>
  <c r="AR79" i="18" s="1"/>
  <c r="AQ80" i="18"/>
  <c r="AR80" i="18" s="1"/>
  <c r="AQ84" i="15"/>
  <c r="AR84" i="15" s="1"/>
  <c r="AQ83" i="15"/>
  <c r="AR83" i="15" s="1"/>
  <c r="AQ81" i="15"/>
  <c r="AR81" i="15" s="1"/>
  <c r="AQ82" i="15"/>
  <c r="AR82" i="15" s="1"/>
  <c r="AQ79" i="15"/>
  <c r="AR79" i="15" s="1"/>
  <c r="AQ85" i="15"/>
  <c r="AR85" i="15" s="1"/>
  <c r="AQ76" i="15"/>
  <c r="AR76" i="15" s="1"/>
  <c r="AQ80" i="15"/>
  <c r="AR80" i="15" s="1"/>
  <c r="AE85" i="3"/>
  <c r="AF85" i="3" s="1"/>
  <c r="AU67" i="18"/>
  <c r="AU70" i="18"/>
  <c r="AE83" i="3"/>
  <c r="AF83" i="3" s="1"/>
  <c r="AE81" i="3"/>
  <c r="AF81" i="3" s="1"/>
  <c r="AE84" i="3"/>
  <c r="AF84" i="3" s="1"/>
  <c r="AE80" i="3"/>
  <c r="AF80" i="3" s="1"/>
  <c r="AU67" i="15"/>
  <c r="AU70" i="15" s="1"/>
  <c r="C75" i="17"/>
  <c r="D75" i="17" s="1"/>
  <c r="D86" i="17" s="1"/>
  <c r="G75" i="17"/>
  <c r="H75" i="17" s="1"/>
  <c r="AE22" i="18"/>
  <c r="D75" i="3"/>
  <c r="AE30" i="18"/>
  <c r="AF30" i="18" s="1"/>
  <c r="AE35" i="18"/>
  <c r="AF35" i="18" s="1"/>
  <c r="AE36" i="18"/>
  <c r="AF36" i="18" s="1"/>
  <c r="AE33" i="18"/>
  <c r="AF33" i="18" s="1"/>
  <c r="AA36" i="18"/>
  <c r="AB36" i="18" s="1"/>
  <c r="AA33" i="18"/>
  <c r="AB33" i="18" s="1"/>
  <c r="AA30" i="18"/>
  <c r="AB30" i="18" s="1"/>
  <c r="AA35" i="18"/>
  <c r="AB35" i="18" s="1"/>
  <c r="AA33" i="15"/>
  <c r="AB33" i="15" s="1"/>
  <c r="AA35" i="15"/>
  <c r="AB35" i="15" s="1"/>
  <c r="AA36" i="15"/>
  <c r="AB36" i="15" s="1"/>
  <c r="AA30" i="15"/>
  <c r="AB30" i="15" s="1"/>
  <c r="AE35" i="3"/>
  <c r="AF35" i="3" s="1"/>
  <c r="AE30" i="3"/>
  <c r="AF30" i="3" s="1"/>
  <c r="AE33" i="3"/>
  <c r="AF33" i="3" s="1"/>
  <c r="AE36" i="3"/>
  <c r="AF36" i="3" s="1"/>
  <c r="AE82" i="3"/>
  <c r="AF82" i="3" s="1"/>
  <c r="AE76" i="3"/>
  <c r="AF76" i="3" s="1"/>
  <c r="AI22" i="3"/>
  <c r="AI34" i="3" s="1"/>
  <c r="AJ34" i="3" s="1"/>
  <c r="AE22" i="15"/>
  <c r="AI21" i="18"/>
  <c r="AJ21" i="18" s="1"/>
  <c r="AJ20" i="18"/>
  <c r="AI21" i="15"/>
  <c r="AJ21" i="15" s="1"/>
  <c r="AJ20" i="15"/>
  <c r="AI22" i="15"/>
  <c r="AI27" i="3"/>
  <c r="AJ27" i="3" s="1"/>
  <c r="AM19" i="3"/>
  <c r="AN20" i="3" s="1"/>
  <c r="AQ17" i="18"/>
  <c r="AQ17" i="15"/>
  <c r="AQ65" i="3"/>
  <c r="AM66" i="3"/>
  <c r="AM67" i="3" s="1"/>
  <c r="AA34" i="15"/>
  <c r="AB34" i="15" s="1"/>
  <c r="AA31" i="15"/>
  <c r="AB31" i="15" s="1"/>
  <c r="AA28" i="15"/>
  <c r="AB28" i="15" s="1"/>
  <c r="AA32" i="15"/>
  <c r="AB32" i="15" s="1"/>
  <c r="AA37" i="15"/>
  <c r="AB37" i="15" s="1"/>
  <c r="AA27" i="15"/>
  <c r="AB27" i="15" s="1"/>
  <c r="AM18" i="18"/>
  <c r="AM19" i="18" s="1"/>
  <c r="AM20" i="18" s="1"/>
  <c r="AE32" i="18"/>
  <c r="AF32" i="18" s="1"/>
  <c r="AE37" i="18"/>
  <c r="AF37" i="18" s="1"/>
  <c r="AE27" i="18"/>
  <c r="AF27" i="18" s="1"/>
  <c r="AE31" i="18"/>
  <c r="AF31" i="18" s="1"/>
  <c r="AE34" i="18"/>
  <c r="AF34" i="18" s="1"/>
  <c r="AE28" i="18"/>
  <c r="AF28" i="18" s="1"/>
  <c r="AA37" i="18"/>
  <c r="AB37" i="18" s="1"/>
  <c r="AA27" i="18"/>
  <c r="AB27" i="18" s="1"/>
  <c r="AA31" i="18"/>
  <c r="AB31" i="18" s="1"/>
  <c r="AA34" i="18"/>
  <c r="AB34" i="18" s="1"/>
  <c r="AA28" i="18"/>
  <c r="AB28" i="18" s="1"/>
  <c r="AA32" i="18"/>
  <c r="AB32" i="18" s="1"/>
  <c r="D38" i="3"/>
  <c r="C41" i="3" s="1"/>
  <c r="D41" i="3" s="1"/>
  <c r="C42" i="3" s="1"/>
  <c r="AI70" i="3"/>
  <c r="AM18" i="15"/>
  <c r="AM19" i="15" s="1"/>
  <c r="AE28" i="3"/>
  <c r="AF28" i="3" s="1"/>
  <c r="AE34" i="3"/>
  <c r="AF34" i="3" s="1"/>
  <c r="AE27" i="3"/>
  <c r="AF27" i="3" s="1"/>
  <c r="AE31" i="3"/>
  <c r="AF31" i="3" s="1"/>
  <c r="AE32" i="3"/>
  <c r="AF32" i="3" s="1"/>
  <c r="AE37" i="3"/>
  <c r="AF37" i="3" s="1"/>
  <c r="H75" i="3"/>
  <c r="D38" i="17"/>
  <c r="S9" i="23"/>
  <c r="G26" i="17"/>
  <c r="H26" i="17" s="1"/>
  <c r="G29" i="17"/>
  <c r="H29" i="17" s="1"/>
  <c r="G26" i="3"/>
  <c r="H26" i="3" s="1"/>
  <c r="G29" i="3"/>
  <c r="H29" i="3" s="1"/>
  <c r="AA8" i="23"/>
  <c r="AA9" i="23"/>
  <c r="K9" i="23"/>
  <c r="K8" i="23"/>
  <c r="D38" i="20"/>
  <c r="C9" i="23"/>
  <c r="D38" i="21"/>
  <c r="H86" i="17"/>
  <c r="G89" i="17" s="1"/>
  <c r="H89" i="17" s="1"/>
  <c r="L62" i="17"/>
  <c r="L70" i="17" s="1"/>
  <c r="L14" i="17"/>
  <c r="L22" i="17" s="1"/>
  <c r="L14" i="3"/>
  <c r="L22" i="3" s="1"/>
  <c r="L62" i="3"/>
  <c r="L70" i="3" s="1"/>
  <c r="K75" i="3" s="1"/>
  <c r="R17" i="17"/>
  <c r="T17" i="17" s="1"/>
  <c r="R65" i="17"/>
  <c r="T65" i="17" s="1"/>
  <c r="R17" i="3"/>
  <c r="T17" i="3" s="1"/>
  <c r="R65" i="3"/>
  <c r="T65" i="3" s="1"/>
  <c r="R18" i="17"/>
  <c r="T18" i="17" s="1"/>
  <c r="R66" i="17"/>
  <c r="T66" i="17" s="1"/>
  <c r="R18" i="3"/>
  <c r="T18" i="3" s="1"/>
  <c r="R66" i="3"/>
  <c r="T66" i="3" s="1"/>
  <c r="R19" i="3"/>
  <c r="T19" i="3" s="1"/>
  <c r="R67" i="17"/>
  <c r="T67" i="17" s="1"/>
  <c r="R19" i="17"/>
  <c r="T19" i="17" s="1"/>
  <c r="R67" i="3"/>
  <c r="T67" i="3" s="1"/>
  <c r="AU84" i="15" l="1"/>
  <c r="AV84" i="15" s="1"/>
  <c r="AU81" i="15"/>
  <c r="AV81" i="15" s="1"/>
  <c r="AU83" i="15"/>
  <c r="AV83" i="15" s="1"/>
  <c r="AU79" i="15"/>
  <c r="AV79" i="15" s="1"/>
  <c r="AU82" i="15"/>
  <c r="AV82" i="15" s="1"/>
  <c r="AU85" i="15"/>
  <c r="AV85" i="15" s="1"/>
  <c r="AU76" i="15"/>
  <c r="AV76" i="15" s="1"/>
  <c r="AU80" i="15"/>
  <c r="AV80" i="15" s="1"/>
  <c r="AI76" i="3"/>
  <c r="AJ76" i="3" s="1"/>
  <c r="AI81" i="3"/>
  <c r="AJ81" i="3" s="1"/>
  <c r="AI84" i="3"/>
  <c r="AJ84" i="3" s="1"/>
  <c r="AI83" i="3"/>
  <c r="AJ83" i="3" s="1"/>
  <c r="AU76" i="18"/>
  <c r="AV76" i="18" s="1"/>
  <c r="AU83" i="18"/>
  <c r="AV83" i="18" s="1"/>
  <c r="AU84" i="18"/>
  <c r="AV84" i="18" s="1"/>
  <c r="AU81" i="18"/>
  <c r="AV81" i="18" s="1"/>
  <c r="AU82" i="18"/>
  <c r="AV82" i="18" s="1"/>
  <c r="AU85" i="18"/>
  <c r="AV85" i="18" s="1"/>
  <c r="AU80" i="18"/>
  <c r="AV80" i="18" s="1"/>
  <c r="AU79" i="18"/>
  <c r="AV79" i="18" s="1"/>
  <c r="G90" i="17"/>
  <c r="H90" i="17" s="1"/>
  <c r="H95" i="17" s="1"/>
  <c r="H97" i="17" s="1"/>
  <c r="K75" i="17"/>
  <c r="L75" i="17" s="1"/>
  <c r="D42" i="3"/>
  <c r="D49" i="3" s="1"/>
  <c r="G8" i="23" s="1"/>
  <c r="C89" i="17"/>
  <c r="D89" i="17" s="1"/>
  <c r="C90" i="17" s="1"/>
  <c r="D90" i="17" s="1"/>
  <c r="D95" i="17" s="1"/>
  <c r="D97" i="17" s="1"/>
  <c r="C41" i="21"/>
  <c r="D41" i="21" s="1"/>
  <c r="C41" i="17"/>
  <c r="D41" i="17" s="1"/>
  <c r="C42" i="17" s="1"/>
  <c r="D42" i="17" s="1"/>
  <c r="D49" i="17" s="1"/>
  <c r="W8" i="23" s="1"/>
  <c r="AI37" i="3"/>
  <c r="AJ37" i="3" s="1"/>
  <c r="AI31" i="3"/>
  <c r="AJ31" i="3" s="1"/>
  <c r="AI28" i="3"/>
  <c r="AJ28" i="3" s="1"/>
  <c r="AI22" i="18"/>
  <c r="D86" i="3"/>
  <c r="C41" i="20"/>
  <c r="D41" i="20" s="1"/>
  <c r="C42" i="20" s="1"/>
  <c r="D42" i="20" s="1"/>
  <c r="AE35" i="15"/>
  <c r="AF35" i="15" s="1"/>
  <c r="AE36" i="15"/>
  <c r="AF36" i="15" s="1"/>
  <c r="AE30" i="15"/>
  <c r="AF30" i="15" s="1"/>
  <c r="AE33" i="15"/>
  <c r="AF33" i="15" s="1"/>
  <c r="AI30" i="3"/>
  <c r="AJ30" i="3" s="1"/>
  <c r="AI33" i="3"/>
  <c r="AJ33" i="3" s="1"/>
  <c r="AI35" i="3"/>
  <c r="AJ35" i="3" s="1"/>
  <c r="AI36" i="3"/>
  <c r="AJ36" i="3" s="1"/>
  <c r="AI36" i="18"/>
  <c r="AJ36" i="18" s="1"/>
  <c r="AI35" i="18"/>
  <c r="AJ35" i="18" s="1"/>
  <c r="AI33" i="18"/>
  <c r="AJ33" i="18" s="1"/>
  <c r="AI30" i="18"/>
  <c r="AJ30" i="18" s="1"/>
  <c r="AI32" i="3"/>
  <c r="AJ32" i="3" s="1"/>
  <c r="AI36" i="15"/>
  <c r="AJ36" i="15" s="1"/>
  <c r="AI35" i="15"/>
  <c r="AJ35" i="15" s="1"/>
  <c r="AI30" i="15"/>
  <c r="AJ30" i="15" s="1"/>
  <c r="AI33" i="15"/>
  <c r="AJ33" i="15" s="1"/>
  <c r="AE27" i="15"/>
  <c r="AF27" i="15" s="1"/>
  <c r="AE34" i="15"/>
  <c r="AF34" i="15" s="1"/>
  <c r="AE28" i="15"/>
  <c r="AF28" i="15" s="1"/>
  <c r="AE31" i="15"/>
  <c r="AF31" i="15" s="1"/>
  <c r="AE37" i="15"/>
  <c r="AF37" i="15" s="1"/>
  <c r="AE32" i="15"/>
  <c r="AF32" i="15" s="1"/>
  <c r="AM70" i="3"/>
  <c r="AM20" i="15"/>
  <c r="AQ66" i="3"/>
  <c r="AQ67" i="3" s="1"/>
  <c r="AQ70" i="3" s="1"/>
  <c r="AU65" i="3"/>
  <c r="AU17" i="18"/>
  <c r="AU17" i="15"/>
  <c r="AM21" i="18"/>
  <c r="AN20" i="18"/>
  <c r="AQ19" i="3"/>
  <c r="AR20" i="3" s="1"/>
  <c r="AI37" i="15"/>
  <c r="AJ37" i="15" s="1"/>
  <c r="AI32" i="15"/>
  <c r="AJ32" i="15" s="1"/>
  <c r="AI27" i="15"/>
  <c r="AJ27" i="15" s="1"/>
  <c r="AI34" i="15"/>
  <c r="AJ34" i="15" s="1"/>
  <c r="AI28" i="15"/>
  <c r="AJ28" i="15" s="1"/>
  <c r="AI31" i="15"/>
  <c r="AJ31" i="15" s="1"/>
  <c r="AQ18" i="15"/>
  <c r="AQ19" i="15" s="1"/>
  <c r="AQ20" i="15" s="1"/>
  <c r="AQ18" i="18"/>
  <c r="AQ19" i="18"/>
  <c r="AM22" i="3"/>
  <c r="AI34" i="18"/>
  <c r="AJ34" i="18" s="1"/>
  <c r="AI28" i="18"/>
  <c r="AJ28" i="18" s="1"/>
  <c r="AI31" i="18"/>
  <c r="AJ31" i="18" s="1"/>
  <c r="AI27" i="18"/>
  <c r="AJ27" i="18" s="1"/>
  <c r="AI37" i="18"/>
  <c r="AJ37" i="18" s="1"/>
  <c r="AI32" i="18"/>
  <c r="AJ32" i="18" s="1"/>
  <c r="AI82" i="3"/>
  <c r="AJ82" i="3" s="1"/>
  <c r="AI77" i="3"/>
  <c r="AJ77" i="3" s="1"/>
  <c r="AI80" i="3"/>
  <c r="AJ80" i="3" s="1"/>
  <c r="AI74" i="3"/>
  <c r="AJ74" i="3" s="1"/>
  <c r="AI85" i="3"/>
  <c r="AJ85" i="3" s="1"/>
  <c r="AI79" i="3"/>
  <c r="AJ79" i="3" s="1"/>
  <c r="S10" i="23"/>
  <c r="K26" i="17"/>
  <c r="L26" i="17" s="1"/>
  <c r="K29" i="17"/>
  <c r="L29" i="17" s="1"/>
  <c r="K26" i="3"/>
  <c r="L26" i="3" s="1"/>
  <c r="K29" i="3"/>
  <c r="L29" i="3" s="1"/>
  <c r="H38" i="17"/>
  <c r="K10" i="23"/>
  <c r="L75" i="3"/>
  <c r="AA10" i="23"/>
  <c r="H86" i="3"/>
  <c r="G89" i="3" s="1"/>
  <c r="H89" i="3" s="1"/>
  <c r="G90" i="3" s="1"/>
  <c r="H90" i="3" s="1"/>
  <c r="H95" i="3" s="1"/>
  <c r="H97" i="3" s="1"/>
  <c r="H38" i="3"/>
  <c r="G41" i="3" s="1"/>
  <c r="H41" i="3" s="1"/>
  <c r="G42" i="3" s="1"/>
  <c r="H42" i="3" s="1"/>
  <c r="H49" i="3" s="1"/>
  <c r="C10" i="23"/>
  <c r="AB14" i="2"/>
  <c r="P14" i="17"/>
  <c r="P22" i="17" s="1"/>
  <c r="P14" i="3"/>
  <c r="P22" i="3" s="1"/>
  <c r="P62" i="17"/>
  <c r="P70" i="17" s="1"/>
  <c r="P62" i="3"/>
  <c r="P70" i="3" s="1"/>
  <c r="O75" i="3" s="1"/>
  <c r="V19" i="17"/>
  <c r="X19" i="17" s="1"/>
  <c r="V67" i="17"/>
  <c r="X67" i="17" s="1"/>
  <c r="V67" i="3"/>
  <c r="X67" i="3" s="1"/>
  <c r="V19" i="3"/>
  <c r="X19" i="3" s="1"/>
  <c r="V18" i="17"/>
  <c r="X18" i="17" s="1"/>
  <c r="V66" i="17"/>
  <c r="X66" i="17" s="1"/>
  <c r="V66" i="3"/>
  <c r="X66" i="3" s="1"/>
  <c r="V18" i="3"/>
  <c r="X18" i="3" s="1"/>
  <c r="V17" i="3"/>
  <c r="X17" i="3" s="1"/>
  <c r="V65" i="17"/>
  <c r="X65" i="17" s="1"/>
  <c r="V17" i="17"/>
  <c r="X17" i="17" s="1"/>
  <c r="V65" i="3"/>
  <c r="X65" i="3" s="1"/>
  <c r="AQ76" i="3" l="1"/>
  <c r="AR76" i="3" s="1"/>
  <c r="AQ81" i="3"/>
  <c r="AR81" i="3" s="1"/>
  <c r="AQ83" i="3"/>
  <c r="AR83" i="3" s="1"/>
  <c r="AQ84" i="3"/>
  <c r="AR84" i="3" s="1"/>
  <c r="AM76" i="3"/>
  <c r="AN76" i="3" s="1"/>
  <c r="AM84" i="3"/>
  <c r="AN84" i="3" s="1"/>
  <c r="AM81" i="3"/>
  <c r="AN81" i="3" s="1"/>
  <c r="AM83" i="3"/>
  <c r="AN83" i="3" s="1"/>
  <c r="C42" i="21"/>
  <c r="D42" i="21" s="1"/>
  <c r="D49" i="21" s="1"/>
  <c r="V21" i="23" s="1"/>
  <c r="G41" i="17"/>
  <c r="H41" i="17" s="1"/>
  <c r="G42" i="17" s="1"/>
  <c r="H42" i="17" s="1"/>
  <c r="H49" i="17" s="1"/>
  <c r="W9" i="23" s="1"/>
  <c r="O75" i="17"/>
  <c r="P75" i="17" s="1"/>
  <c r="C89" i="3"/>
  <c r="D89" i="3" s="1"/>
  <c r="C90" i="3" s="1"/>
  <c r="D90" i="3" s="1"/>
  <c r="D95" i="3" s="1"/>
  <c r="D97" i="3" s="1"/>
  <c r="O8" i="23" s="1"/>
  <c r="D49" i="20"/>
  <c r="F21" i="23" s="1"/>
  <c r="P4" i="6" s="1"/>
  <c r="Q4" i="6" s="1"/>
  <c r="AM30" i="3"/>
  <c r="AN30" i="3" s="1"/>
  <c r="AM33" i="3"/>
  <c r="AN33" i="3" s="1"/>
  <c r="AM35" i="3"/>
  <c r="AN35" i="3" s="1"/>
  <c r="AM36" i="3"/>
  <c r="AN36" i="3" s="1"/>
  <c r="AQ20" i="18"/>
  <c r="AR20" i="18" s="1"/>
  <c r="AQ22" i="3"/>
  <c r="AQ28" i="3" s="1"/>
  <c r="AR28" i="3" s="1"/>
  <c r="AQ34" i="3"/>
  <c r="AR34" i="3" s="1"/>
  <c r="AQ27" i="3"/>
  <c r="AR27" i="3" s="1"/>
  <c r="AQ21" i="15"/>
  <c r="AR21" i="15" s="1"/>
  <c r="AR20" i="15"/>
  <c r="AQ77" i="3"/>
  <c r="AR77" i="3" s="1"/>
  <c r="AQ85" i="3"/>
  <c r="AR85" i="3" s="1"/>
  <c r="AQ80" i="3"/>
  <c r="AR80" i="3" s="1"/>
  <c r="AQ74" i="3"/>
  <c r="AR74" i="3" s="1"/>
  <c r="AQ79" i="3"/>
  <c r="AR79" i="3" s="1"/>
  <c r="AQ82" i="3"/>
  <c r="AR82" i="3" s="1"/>
  <c r="AN21" i="18"/>
  <c r="AM22" i="18"/>
  <c r="AU19" i="3"/>
  <c r="AU18" i="15"/>
  <c r="AU19" i="15" s="1"/>
  <c r="AU18" i="18"/>
  <c r="AU19" i="18" s="1"/>
  <c r="AU66" i="3"/>
  <c r="AU67" i="3" s="1"/>
  <c r="AU70" i="3" s="1"/>
  <c r="AM32" i="3"/>
  <c r="AN32" i="3" s="1"/>
  <c r="AM34" i="3"/>
  <c r="AN34" i="3" s="1"/>
  <c r="AM28" i="3"/>
  <c r="AN28" i="3" s="1"/>
  <c r="AM31" i="3"/>
  <c r="AN31" i="3" s="1"/>
  <c r="AM37" i="3"/>
  <c r="AN37" i="3" s="1"/>
  <c r="AM27" i="3"/>
  <c r="AN27" i="3" s="1"/>
  <c r="C17" i="19"/>
  <c r="C17" i="16"/>
  <c r="AQ21" i="18"/>
  <c r="AR21" i="18" s="1"/>
  <c r="AN20" i="15"/>
  <c r="AM21" i="15"/>
  <c r="G9" i="23"/>
  <c r="AM79" i="3"/>
  <c r="AN79" i="3" s="1"/>
  <c r="AM80" i="3"/>
  <c r="AN80" i="3" s="1"/>
  <c r="AM77" i="3"/>
  <c r="AN77" i="3" s="1"/>
  <c r="AM74" i="3"/>
  <c r="AN74" i="3" s="1"/>
  <c r="AM82" i="3"/>
  <c r="AN82" i="3" s="1"/>
  <c r="AM85" i="3"/>
  <c r="AN85" i="3" s="1"/>
  <c r="S11" i="23"/>
  <c r="O29" i="17"/>
  <c r="P29" i="17" s="1"/>
  <c r="O26" i="17"/>
  <c r="P26" i="17" s="1"/>
  <c r="K11" i="23"/>
  <c r="P75" i="3"/>
  <c r="P86" i="3" s="1"/>
  <c r="O89" i="3" s="1"/>
  <c r="P89" i="3" s="1"/>
  <c r="O90" i="3" s="1"/>
  <c r="P90" i="3" s="1"/>
  <c r="O26" i="3"/>
  <c r="P26" i="3" s="1"/>
  <c r="O29" i="3"/>
  <c r="P29" i="3" s="1"/>
  <c r="L38" i="17"/>
  <c r="AA11" i="23"/>
  <c r="L86" i="17"/>
  <c r="L38" i="3"/>
  <c r="K41" i="3" s="1"/>
  <c r="L41" i="3" s="1"/>
  <c r="K42" i="3" s="1"/>
  <c r="L42" i="3" s="1"/>
  <c r="L86" i="3"/>
  <c r="C11" i="23"/>
  <c r="AE8" i="23"/>
  <c r="AC14" i="2"/>
  <c r="T62" i="17"/>
  <c r="T70" i="17" s="1"/>
  <c r="T14" i="3"/>
  <c r="T22" i="3" s="1"/>
  <c r="T62" i="3"/>
  <c r="T70" i="3" s="1"/>
  <c r="S75" i="3" s="1"/>
  <c r="T14" i="17"/>
  <c r="T22" i="17" s="1"/>
  <c r="Z65" i="17"/>
  <c r="AB65" i="17" s="1"/>
  <c r="Z17" i="17"/>
  <c r="AB17" i="17" s="1"/>
  <c r="Z17" i="3"/>
  <c r="AB17" i="3" s="1"/>
  <c r="D65" i="21"/>
  <c r="Z65" i="3"/>
  <c r="AB65" i="3" s="1"/>
  <c r="D65" i="20"/>
  <c r="Z66" i="17"/>
  <c r="AB66" i="17" s="1"/>
  <c r="Z18" i="17"/>
  <c r="AB18" i="17" s="1"/>
  <c r="Z18" i="3"/>
  <c r="AB18" i="3" s="1"/>
  <c r="D66" i="20"/>
  <c r="Z66" i="3"/>
  <c r="AB66" i="3" s="1"/>
  <c r="D66" i="21"/>
  <c r="Z67" i="17"/>
  <c r="AB67" i="17" s="1"/>
  <c r="Z19" i="17"/>
  <c r="AB19" i="17" s="1"/>
  <c r="Z19" i="3"/>
  <c r="AB19" i="3" s="1"/>
  <c r="D67" i="21"/>
  <c r="Z67" i="3"/>
  <c r="AB67" i="3" s="1"/>
  <c r="D67" i="20"/>
  <c r="AU76" i="3" l="1"/>
  <c r="AV76" i="3" s="1"/>
  <c r="AU83" i="3"/>
  <c r="AV83" i="3" s="1"/>
  <c r="AU81" i="3"/>
  <c r="AV81" i="3" s="1"/>
  <c r="AU84" i="3"/>
  <c r="AV84" i="3" s="1"/>
  <c r="S75" i="17"/>
  <c r="T75" i="17" s="1"/>
  <c r="K41" i="17"/>
  <c r="L41" i="17" s="1"/>
  <c r="K42" i="17" s="1"/>
  <c r="L42" i="17" s="1"/>
  <c r="L49" i="17" s="1"/>
  <c r="W10" i="23" s="1"/>
  <c r="K89" i="17"/>
  <c r="L89" i="17" s="1"/>
  <c r="K90" i="17" s="1"/>
  <c r="L90" i="17" s="1"/>
  <c r="L95" i="17" s="1"/>
  <c r="L97" i="17" s="1"/>
  <c r="K89" i="3"/>
  <c r="L89" i="3" s="1"/>
  <c r="L49" i="3"/>
  <c r="G10" i="23" s="1"/>
  <c r="AQ37" i="3"/>
  <c r="AR37" i="3" s="1"/>
  <c r="AQ32" i="3"/>
  <c r="AR32" i="3" s="1"/>
  <c r="P95" i="3"/>
  <c r="P97" i="3" s="1"/>
  <c r="AM36" i="18"/>
  <c r="AN36" i="18" s="1"/>
  <c r="AM30" i="18"/>
  <c r="AN30" i="18" s="1"/>
  <c r="AM33" i="18"/>
  <c r="AN33" i="18" s="1"/>
  <c r="AM35" i="18"/>
  <c r="AN35" i="18" s="1"/>
  <c r="AQ36" i="3"/>
  <c r="AR36" i="3" s="1"/>
  <c r="AQ35" i="3"/>
  <c r="AR35" i="3" s="1"/>
  <c r="AQ30" i="3"/>
  <c r="AR30" i="3" s="1"/>
  <c r="AQ33" i="3"/>
  <c r="AR33" i="3" s="1"/>
  <c r="AQ31" i="3"/>
  <c r="AR31" i="3" s="1"/>
  <c r="AV20" i="3"/>
  <c r="AU20" i="15"/>
  <c r="G17" i="19"/>
  <c r="G17" i="16"/>
  <c r="AU21" i="15"/>
  <c r="AV21" i="15" s="1"/>
  <c r="AN21" i="15"/>
  <c r="AM22" i="15"/>
  <c r="AU79" i="3"/>
  <c r="AV79" i="3" s="1"/>
  <c r="AU85" i="3"/>
  <c r="AV85" i="3" s="1"/>
  <c r="AU80" i="3"/>
  <c r="AV80" i="3" s="1"/>
  <c r="AU74" i="3"/>
  <c r="AV74" i="3" s="1"/>
  <c r="AU82" i="3"/>
  <c r="AV82" i="3" s="1"/>
  <c r="AU77" i="3"/>
  <c r="AV77" i="3" s="1"/>
  <c r="AM28" i="18"/>
  <c r="AN28" i="18" s="1"/>
  <c r="AM31" i="18"/>
  <c r="AN31" i="18" s="1"/>
  <c r="AM37" i="18"/>
  <c r="AN37" i="18" s="1"/>
  <c r="AM34" i="18"/>
  <c r="AN34" i="18" s="1"/>
  <c r="AM27" i="18"/>
  <c r="AN27" i="18" s="1"/>
  <c r="AM32" i="18"/>
  <c r="AN32" i="18" s="1"/>
  <c r="C18" i="16"/>
  <c r="C19" i="16" s="1"/>
  <c r="C20" i="16" s="1"/>
  <c r="AU20" i="18"/>
  <c r="AV20" i="18" s="1"/>
  <c r="AQ22" i="15"/>
  <c r="C18" i="19"/>
  <c r="C20" i="19" s="1"/>
  <c r="AQ22" i="18"/>
  <c r="P38" i="17"/>
  <c r="S29" i="3"/>
  <c r="T29" i="3" s="1"/>
  <c r="S26" i="3"/>
  <c r="T26" i="3" s="1"/>
  <c r="K12" i="23"/>
  <c r="T75" i="3"/>
  <c r="T86" i="3" s="1"/>
  <c r="S89" i="3" s="1"/>
  <c r="T89" i="3" s="1"/>
  <c r="S90" i="3" s="1"/>
  <c r="T90" i="3" s="1"/>
  <c r="S12" i="23"/>
  <c r="S26" i="17"/>
  <c r="T26" i="17" s="1"/>
  <c r="S29" i="17"/>
  <c r="T29" i="17" s="1"/>
  <c r="AA12" i="23"/>
  <c r="P38" i="3"/>
  <c r="O41" i="3" s="1"/>
  <c r="P41" i="3" s="1"/>
  <c r="O42" i="3" s="1"/>
  <c r="P42" i="3" s="1"/>
  <c r="P86" i="17"/>
  <c r="C12" i="23"/>
  <c r="O9" i="23"/>
  <c r="AE9" i="23"/>
  <c r="AD14" i="2"/>
  <c r="X62" i="3"/>
  <c r="X70" i="3" s="1"/>
  <c r="W75" i="3" s="1"/>
  <c r="X14" i="17"/>
  <c r="X22" i="17" s="1"/>
  <c r="X62" i="17"/>
  <c r="X70" i="17" s="1"/>
  <c r="X14" i="3"/>
  <c r="X22" i="3" s="1"/>
  <c r="AD19" i="17"/>
  <c r="AF19" i="17" s="1"/>
  <c r="AD67" i="17"/>
  <c r="AF67" i="17" s="1"/>
  <c r="AD19" i="3"/>
  <c r="AF19" i="3" s="1"/>
  <c r="AD67" i="3"/>
  <c r="AF67" i="3" s="1"/>
  <c r="AD66" i="17"/>
  <c r="AF66" i="17" s="1"/>
  <c r="AD18" i="17"/>
  <c r="AF18" i="17" s="1"/>
  <c r="AD18" i="3"/>
  <c r="AF18" i="3" s="1"/>
  <c r="AD66" i="3"/>
  <c r="AF66" i="3" s="1"/>
  <c r="AD17" i="3"/>
  <c r="AF17" i="3" s="1"/>
  <c r="AD17" i="17"/>
  <c r="AF17" i="17" s="1"/>
  <c r="AD65" i="17"/>
  <c r="AF65" i="17" s="1"/>
  <c r="AD65" i="3"/>
  <c r="AF65" i="3" s="1"/>
  <c r="W75" i="17" l="1"/>
  <c r="X75" i="17" s="1"/>
  <c r="X86" i="17" s="1"/>
  <c r="W89" i="17" s="1"/>
  <c r="X89" i="17" s="1"/>
  <c r="O41" i="17"/>
  <c r="P41" i="17" s="1"/>
  <c r="O42" i="17" s="1"/>
  <c r="P42" i="17" s="1"/>
  <c r="P49" i="17" s="1"/>
  <c r="W11" i="23" s="1"/>
  <c r="O89" i="17"/>
  <c r="P89" i="17" s="1"/>
  <c r="O90" i="17" s="1"/>
  <c r="P90" i="17" s="1"/>
  <c r="P95" i="17" s="1"/>
  <c r="P97" i="17" s="1"/>
  <c r="K90" i="3"/>
  <c r="L90" i="3" s="1"/>
  <c r="L95" i="3" s="1"/>
  <c r="L97" i="3" s="1"/>
  <c r="O10" i="23" s="1"/>
  <c r="P49" i="3"/>
  <c r="T95" i="3"/>
  <c r="T97" i="3" s="1"/>
  <c r="AM30" i="15"/>
  <c r="AN30" i="15" s="1"/>
  <c r="AM33" i="15"/>
  <c r="AN33" i="15" s="1"/>
  <c r="AM35" i="15"/>
  <c r="AN35" i="15" s="1"/>
  <c r="AM36" i="15"/>
  <c r="AN36" i="15" s="1"/>
  <c r="AQ35" i="15"/>
  <c r="AR35" i="15" s="1"/>
  <c r="AQ36" i="15"/>
  <c r="AR36" i="15" s="1"/>
  <c r="AQ30" i="15"/>
  <c r="AR30" i="15" s="1"/>
  <c r="AQ33" i="15"/>
  <c r="AR33" i="15" s="1"/>
  <c r="AQ30" i="18"/>
  <c r="AR30" i="18" s="1"/>
  <c r="AQ35" i="18"/>
  <c r="AR35" i="18" s="1"/>
  <c r="AQ36" i="18"/>
  <c r="AR36" i="18" s="1"/>
  <c r="AQ33" i="18"/>
  <c r="AR33" i="18" s="1"/>
  <c r="G11" i="23"/>
  <c r="AU22" i="3"/>
  <c r="AU32" i="3" s="1"/>
  <c r="AV32" i="3" s="1"/>
  <c r="C22" i="19"/>
  <c r="C31" i="19" s="1"/>
  <c r="D31" i="19" s="1"/>
  <c r="C22" i="16"/>
  <c r="C32" i="16" s="1"/>
  <c r="D32" i="16" s="1"/>
  <c r="C27" i="16"/>
  <c r="D27" i="16" s="1"/>
  <c r="C31" i="16"/>
  <c r="D31" i="16" s="1"/>
  <c r="AM28" i="15"/>
  <c r="AN28" i="15" s="1"/>
  <c r="AM34" i="15"/>
  <c r="AN34" i="15" s="1"/>
  <c r="AM37" i="15"/>
  <c r="AN37" i="15" s="1"/>
  <c r="AM31" i="15"/>
  <c r="AN31" i="15" s="1"/>
  <c r="AM27" i="15"/>
  <c r="AN27" i="15" s="1"/>
  <c r="AM32" i="15"/>
  <c r="AN32" i="15" s="1"/>
  <c r="G18" i="16"/>
  <c r="G19" i="16" s="1"/>
  <c r="G20" i="16" s="1"/>
  <c r="H20" i="16" s="1"/>
  <c r="AQ37" i="18"/>
  <c r="AR37" i="18" s="1"/>
  <c r="AQ28" i="18"/>
  <c r="AR28" i="18" s="1"/>
  <c r="AQ27" i="18"/>
  <c r="AR27" i="18" s="1"/>
  <c r="AQ32" i="18"/>
  <c r="AR32" i="18" s="1"/>
  <c r="AQ34" i="18"/>
  <c r="AR34" i="18" s="1"/>
  <c r="AQ31" i="18"/>
  <c r="AR31" i="18" s="1"/>
  <c r="G18" i="19"/>
  <c r="C27" i="19"/>
  <c r="D27" i="19" s="1"/>
  <c r="C28" i="19"/>
  <c r="D28" i="19" s="1"/>
  <c r="AV20" i="15"/>
  <c r="AU22" i="15"/>
  <c r="AU27" i="3"/>
  <c r="AV27" i="3" s="1"/>
  <c r="AQ32" i="15"/>
  <c r="AR32" i="15" s="1"/>
  <c r="AQ34" i="15"/>
  <c r="AR34" i="15" s="1"/>
  <c r="AQ31" i="15"/>
  <c r="AR31" i="15" s="1"/>
  <c r="AQ37" i="15"/>
  <c r="AR37" i="15" s="1"/>
  <c r="AQ27" i="15"/>
  <c r="AR27" i="15" s="1"/>
  <c r="AQ28" i="15"/>
  <c r="AR28" i="15" s="1"/>
  <c r="K17" i="19"/>
  <c r="K17" i="16"/>
  <c r="AU21" i="18"/>
  <c r="AV21" i="18" s="1"/>
  <c r="K13" i="23"/>
  <c r="X75" i="3"/>
  <c r="W26" i="3"/>
  <c r="X26" i="3" s="1"/>
  <c r="W29" i="3"/>
  <c r="X29" i="3" s="1"/>
  <c r="T38" i="17"/>
  <c r="S13" i="23"/>
  <c r="W26" i="17"/>
  <c r="X26" i="17" s="1"/>
  <c r="W29" i="17"/>
  <c r="X29" i="17" s="1"/>
  <c r="AA13" i="23"/>
  <c r="T38" i="3"/>
  <c r="S41" i="3" s="1"/>
  <c r="T41" i="3" s="1"/>
  <c r="S42" i="3" s="1"/>
  <c r="T42" i="3" s="1"/>
  <c r="T86" i="17"/>
  <c r="C13" i="23"/>
  <c r="AE10" i="23"/>
  <c r="AE14" i="2"/>
  <c r="AB14" i="17"/>
  <c r="AB22" i="17" s="1"/>
  <c r="AB62" i="17"/>
  <c r="AB70" i="17" s="1"/>
  <c r="AB14" i="3"/>
  <c r="AB22" i="3" s="1"/>
  <c r="AB62" i="3"/>
  <c r="AB70" i="3" s="1"/>
  <c r="AA75" i="3" s="1"/>
  <c r="AH65" i="17"/>
  <c r="AJ65" i="17" s="1"/>
  <c r="AH17" i="17"/>
  <c r="AJ17" i="17" s="1"/>
  <c r="AH17" i="3"/>
  <c r="AJ17" i="3" s="1"/>
  <c r="AH65" i="3"/>
  <c r="AJ65" i="3" s="1"/>
  <c r="AH18" i="3"/>
  <c r="AJ18" i="3" s="1"/>
  <c r="AH66" i="17"/>
  <c r="AJ66" i="17" s="1"/>
  <c r="AH18" i="17"/>
  <c r="AJ18" i="17" s="1"/>
  <c r="AH66" i="3"/>
  <c r="AJ66" i="3" s="1"/>
  <c r="AH19" i="17"/>
  <c r="AJ19" i="17" s="1"/>
  <c r="AH19" i="3"/>
  <c r="AJ19" i="3" s="1"/>
  <c r="AH67" i="17"/>
  <c r="AJ67" i="17" s="1"/>
  <c r="AH67" i="3"/>
  <c r="AJ67" i="3" s="1"/>
  <c r="C37" i="19" l="1"/>
  <c r="D37" i="19" s="1"/>
  <c r="C37" i="16"/>
  <c r="D37" i="16" s="1"/>
  <c r="W90" i="17"/>
  <c r="X90" i="17" s="1"/>
  <c r="X95" i="17" s="1"/>
  <c r="X97" i="17" s="1"/>
  <c r="S41" i="17"/>
  <c r="T41" i="17" s="1"/>
  <c r="S42" i="17" s="1"/>
  <c r="T42" i="17" s="1"/>
  <c r="T49" i="17" s="1"/>
  <c r="W12" i="23" s="1"/>
  <c r="S89" i="17"/>
  <c r="T89" i="17" s="1"/>
  <c r="S90" i="17" s="1"/>
  <c r="T90" i="17" s="1"/>
  <c r="T95" i="17" s="1"/>
  <c r="T97" i="17" s="1"/>
  <c r="AA75" i="17"/>
  <c r="AB75" i="17" s="1"/>
  <c r="C32" i="19"/>
  <c r="D32" i="19" s="1"/>
  <c r="C34" i="19"/>
  <c r="D34" i="19" s="1"/>
  <c r="C28" i="16"/>
  <c r="D28" i="16" s="1"/>
  <c r="T49" i="3"/>
  <c r="G12" i="23" s="1"/>
  <c r="C34" i="16"/>
  <c r="D34" i="16" s="1"/>
  <c r="AU28" i="3"/>
  <c r="AV28" i="3" s="1"/>
  <c r="AU34" i="3"/>
  <c r="AV34" i="3" s="1"/>
  <c r="AU31" i="3"/>
  <c r="AV31" i="3" s="1"/>
  <c r="AU37" i="3"/>
  <c r="AV37" i="3" s="1"/>
  <c r="C36" i="16"/>
  <c r="D36" i="16" s="1"/>
  <c r="C35" i="16"/>
  <c r="D35" i="16" s="1"/>
  <c r="C33" i="16"/>
  <c r="D33" i="16" s="1"/>
  <c r="C30" i="16"/>
  <c r="D30" i="16" s="1"/>
  <c r="C33" i="19"/>
  <c r="D33" i="19" s="1"/>
  <c r="C30" i="19"/>
  <c r="D30" i="19" s="1"/>
  <c r="C35" i="19"/>
  <c r="D35" i="19" s="1"/>
  <c r="C36" i="19"/>
  <c r="D36" i="19" s="1"/>
  <c r="AU36" i="3"/>
  <c r="AV36" i="3" s="1"/>
  <c r="AU35" i="3"/>
  <c r="AV35" i="3" s="1"/>
  <c r="AU33" i="3"/>
  <c r="AV33" i="3" s="1"/>
  <c r="AU30" i="3"/>
  <c r="AV30" i="3" s="1"/>
  <c r="AU35" i="15"/>
  <c r="AV35" i="15" s="1"/>
  <c r="AU36" i="15"/>
  <c r="AV36" i="15" s="1"/>
  <c r="AU33" i="15"/>
  <c r="AV33" i="15" s="1"/>
  <c r="AU30" i="15"/>
  <c r="AV30" i="15" s="1"/>
  <c r="G19" i="19"/>
  <c r="G20" i="19" s="1"/>
  <c r="H20" i="19" s="1"/>
  <c r="AU22" i="18"/>
  <c r="AU37" i="15"/>
  <c r="AV37" i="15" s="1"/>
  <c r="AU27" i="15"/>
  <c r="AV27" i="15" s="1"/>
  <c r="AU31" i="15"/>
  <c r="AV31" i="15" s="1"/>
  <c r="AU32" i="15"/>
  <c r="AV32" i="15" s="1"/>
  <c r="AU34" i="15"/>
  <c r="AV34" i="15" s="1"/>
  <c r="AU28" i="15"/>
  <c r="AV28" i="15" s="1"/>
  <c r="O17" i="16"/>
  <c r="O17" i="19"/>
  <c r="K18" i="16"/>
  <c r="K19" i="16" s="1"/>
  <c r="K18" i="19"/>
  <c r="K19" i="19" s="1"/>
  <c r="K20" i="19" s="1"/>
  <c r="L20" i="19" s="1"/>
  <c r="G22" i="16"/>
  <c r="AA26" i="3"/>
  <c r="AB26" i="3" s="1"/>
  <c r="AA29" i="3"/>
  <c r="AB29" i="3" s="1"/>
  <c r="X38" i="17"/>
  <c r="K14" i="23"/>
  <c r="AB75" i="3"/>
  <c r="S14" i="23"/>
  <c r="AA29" i="17"/>
  <c r="AB29" i="17" s="1"/>
  <c r="AA26" i="17"/>
  <c r="AB26" i="17" s="1"/>
  <c r="AA14" i="23"/>
  <c r="X38" i="3"/>
  <c r="W41" i="3" s="1"/>
  <c r="X41" i="3" s="1"/>
  <c r="W42" i="3" s="1"/>
  <c r="X42" i="3" s="1"/>
  <c r="X86" i="3"/>
  <c r="C14" i="23"/>
  <c r="AE11" i="23"/>
  <c r="O11" i="23"/>
  <c r="AF14" i="2"/>
  <c r="D70" i="20"/>
  <c r="D70" i="21"/>
  <c r="AF14" i="3"/>
  <c r="AF22" i="3" s="1"/>
  <c r="AF62" i="3"/>
  <c r="AF70" i="3" s="1"/>
  <c r="AE75" i="3" s="1"/>
  <c r="AF14" i="17"/>
  <c r="AF22" i="17" s="1"/>
  <c r="AF62" i="17"/>
  <c r="AF70" i="17" s="1"/>
  <c r="AL19" i="3"/>
  <c r="AN19" i="3" s="1"/>
  <c r="AL19" i="17"/>
  <c r="AN19" i="17" s="1"/>
  <c r="AL67" i="17"/>
  <c r="AN67" i="17" s="1"/>
  <c r="AL67" i="3"/>
  <c r="AN67" i="3" s="1"/>
  <c r="AL18" i="17"/>
  <c r="AN18" i="17" s="1"/>
  <c r="AL18" i="3"/>
  <c r="AN18" i="3" s="1"/>
  <c r="AL66" i="17"/>
  <c r="AN66" i="17" s="1"/>
  <c r="AL66" i="3"/>
  <c r="AN66" i="3" s="1"/>
  <c r="AL65" i="17"/>
  <c r="AN65" i="17" s="1"/>
  <c r="AL17" i="3"/>
  <c r="AN17" i="3" s="1"/>
  <c r="AL17" i="17"/>
  <c r="AN17" i="17" s="1"/>
  <c r="AL65" i="3"/>
  <c r="AN65" i="3" s="1"/>
  <c r="W41" i="17" l="1"/>
  <c r="X41" i="17" s="1"/>
  <c r="W42" i="17" s="1"/>
  <c r="X42" i="17" s="1"/>
  <c r="X49" i="17" s="1"/>
  <c r="W13" i="23" s="1"/>
  <c r="X49" i="3"/>
  <c r="G13" i="23" s="1"/>
  <c r="AE75" i="17"/>
  <c r="AF75" i="17" s="1"/>
  <c r="W89" i="3"/>
  <c r="X89" i="3" s="1"/>
  <c r="AU33" i="18"/>
  <c r="AV33" i="18" s="1"/>
  <c r="AU35" i="18"/>
  <c r="AV35" i="18" s="1"/>
  <c r="AU36" i="18"/>
  <c r="AV36" i="18" s="1"/>
  <c r="AU30" i="18"/>
  <c r="AV30" i="18" s="1"/>
  <c r="G36" i="16"/>
  <c r="H36" i="16" s="1"/>
  <c r="G33" i="16"/>
  <c r="H33" i="16" s="1"/>
  <c r="G35" i="16"/>
  <c r="H35" i="16" s="1"/>
  <c r="G30" i="16"/>
  <c r="H30" i="16" s="1"/>
  <c r="G22" i="19"/>
  <c r="K22" i="19"/>
  <c r="S17" i="16"/>
  <c r="S17" i="19"/>
  <c r="AU27" i="18"/>
  <c r="AV27" i="18" s="1"/>
  <c r="AU32" i="18"/>
  <c r="AV32" i="18" s="1"/>
  <c r="AU37" i="18"/>
  <c r="AV37" i="18" s="1"/>
  <c r="AU28" i="18"/>
  <c r="AV28" i="18" s="1"/>
  <c r="AU31" i="18"/>
  <c r="AV31" i="18" s="1"/>
  <c r="AU34" i="18"/>
  <c r="AV34" i="18" s="1"/>
  <c r="G27" i="16"/>
  <c r="H27" i="16" s="1"/>
  <c r="G34" i="16"/>
  <c r="H34" i="16" s="1"/>
  <c r="G32" i="16"/>
  <c r="H32" i="16" s="1"/>
  <c r="G28" i="16"/>
  <c r="H28" i="16" s="1"/>
  <c r="G31" i="16"/>
  <c r="H31" i="16" s="1"/>
  <c r="G37" i="16"/>
  <c r="H37" i="16" s="1"/>
  <c r="K20" i="16"/>
  <c r="O18" i="19"/>
  <c r="O19" i="19"/>
  <c r="O20" i="19" s="1"/>
  <c r="O18" i="16"/>
  <c r="O19" i="16"/>
  <c r="AB49" i="3"/>
  <c r="AB38" i="17"/>
  <c r="AE26" i="3"/>
  <c r="AF26" i="3" s="1"/>
  <c r="AE29" i="3"/>
  <c r="AF29" i="3" s="1"/>
  <c r="K15" i="23"/>
  <c r="AF75" i="3"/>
  <c r="Z21" i="23"/>
  <c r="C75" i="21"/>
  <c r="D75" i="21" s="1"/>
  <c r="D86" i="21" s="1"/>
  <c r="S15" i="23"/>
  <c r="AE26" i="17"/>
  <c r="AF26" i="17" s="1"/>
  <c r="AE29" i="17"/>
  <c r="AF29" i="17" s="1"/>
  <c r="AA15" i="23"/>
  <c r="J21" i="23"/>
  <c r="C75" i="20"/>
  <c r="D75" i="20" s="1"/>
  <c r="C73" i="20"/>
  <c r="D73" i="20" s="1"/>
  <c r="AB86" i="3"/>
  <c r="AB86" i="17"/>
  <c r="AB38" i="3"/>
  <c r="AA41" i="3" s="1"/>
  <c r="AB41" i="3" s="1"/>
  <c r="AA42" i="3" s="1"/>
  <c r="AB42" i="3" s="1"/>
  <c r="C15" i="23"/>
  <c r="O12" i="23"/>
  <c r="AE12" i="23"/>
  <c r="AG14" i="2"/>
  <c r="AJ14" i="17"/>
  <c r="AJ22" i="17" s="1"/>
  <c r="AJ62" i="17"/>
  <c r="AJ70" i="17" s="1"/>
  <c r="AJ14" i="3"/>
  <c r="AJ22" i="3" s="1"/>
  <c r="AJ62" i="3"/>
  <c r="AJ70" i="3" s="1"/>
  <c r="AI75" i="3" s="1"/>
  <c r="AP65" i="17"/>
  <c r="AR65" i="17" s="1"/>
  <c r="AP17" i="3"/>
  <c r="AR17" i="3" s="1"/>
  <c r="AP17" i="17"/>
  <c r="AR17" i="17" s="1"/>
  <c r="AP65" i="3"/>
  <c r="AR65" i="3" s="1"/>
  <c r="AP66" i="17"/>
  <c r="AR66" i="17" s="1"/>
  <c r="AP18" i="3"/>
  <c r="AR18" i="3" s="1"/>
  <c r="AP18" i="17"/>
  <c r="AR18" i="17" s="1"/>
  <c r="AP66" i="3"/>
  <c r="AR66" i="3" s="1"/>
  <c r="AP67" i="17"/>
  <c r="AR67" i="17" s="1"/>
  <c r="AP19" i="3"/>
  <c r="AR19" i="3" s="1"/>
  <c r="AP19" i="17"/>
  <c r="AR19" i="17" s="1"/>
  <c r="AP67" i="3"/>
  <c r="AR67" i="3" s="1"/>
  <c r="AI75" i="17" l="1"/>
  <c r="AJ75" i="17" s="1"/>
  <c r="AA41" i="17"/>
  <c r="AB41" i="17" s="1"/>
  <c r="AA42" i="17" s="1"/>
  <c r="AB42" i="17" s="1"/>
  <c r="AB49" i="17" s="1"/>
  <c r="W14" i="23" s="1"/>
  <c r="AA89" i="17"/>
  <c r="AB89" i="17" s="1"/>
  <c r="AA90" i="17" s="1"/>
  <c r="AB90" i="17" s="1"/>
  <c r="C89" i="21"/>
  <c r="D89" i="21" s="1"/>
  <c r="W90" i="3"/>
  <c r="X90" i="3" s="1"/>
  <c r="X95" i="3" s="1"/>
  <c r="X97" i="3" s="1"/>
  <c r="O13" i="23" s="1"/>
  <c r="AA89" i="3"/>
  <c r="AB89" i="3" s="1"/>
  <c r="K36" i="19"/>
  <c r="L36" i="19" s="1"/>
  <c r="K33" i="19"/>
  <c r="L33" i="19" s="1"/>
  <c r="K30" i="19"/>
  <c r="L30" i="19" s="1"/>
  <c r="K35" i="19"/>
  <c r="L35" i="19" s="1"/>
  <c r="G35" i="19"/>
  <c r="H35" i="19" s="1"/>
  <c r="G36" i="19"/>
  <c r="H36" i="19" s="1"/>
  <c r="G30" i="19"/>
  <c r="H30" i="19" s="1"/>
  <c r="G33" i="19"/>
  <c r="H33" i="19" s="1"/>
  <c r="P20" i="19"/>
  <c r="O22" i="19"/>
  <c r="O34" i="19" s="1"/>
  <c r="P34" i="19" s="1"/>
  <c r="G27" i="19"/>
  <c r="H27" i="19" s="1"/>
  <c r="G28" i="19"/>
  <c r="H28" i="19" s="1"/>
  <c r="G31" i="19"/>
  <c r="H31" i="19" s="1"/>
  <c r="G34" i="19"/>
  <c r="H34" i="19" s="1"/>
  <c r="G37" i="19"/>
  <c r="H37" i="19" s="1"/>
  <c r="G32" i="19"/>
  <c r="H32" i="19" s="1"/>
  <c r="G14" i="23"/>
  <c r="O20" i="16"/>
  <c r="O27" i="19"/>
  <c r="P27" i="19" s="1"/>
  <c r="L20" i="16"/>
  <c r="K22" i="16"/>
  <c r="W17" i="16"/>
  <c r="W17" i="19"/>
  <c r="S18" i="19"/>
  <c r="S19" i="19" s="1"/>
  <c r="S20" i="19" s="1"/>
  <c r="T20" i="19" s="1"/>
  <c r="S18" i="16"/>
  <c r="S19" i="16"/>
  <c r="K32" i="19"/>
  <c r="L32" i="19" s="1"/>
  <c r="K37" i="19"/>
  <c r="L37" i="19" s="1"/>
  <c r="K28" i="19"/>
  <c r="L28" i="19" s="1"/>
  <c r="K31" i="19"/>
  <c r="L31" i="19" s="1"/>
  <c r="K34" i="19"/>
  <c r="L34" i="19" s="1"/>
  <c r="K27" i="19"/>
  <c r="L27" i="19" s="1"/>
  <c r="AF38" i="17"/>
  <c r="K16" i="23"/>
  <c r="AJ75" i="3"/>
  <c r="AI29" i="3"/>
  <c r="AJ29" i="3" s="1"/>
  <c r="AI26" i="3"/>
  <c r="AJ26" i="3" s="1"/>
  <c r="S16" i="23"/>
  <c r="AI29" i="17"/>
  <c r="AJ29" i="17" s="1"/>
  <c r="AI26" i="17"/>
  <c r="AJ26" i="17" s="1"/>
  <c r="AA16" i="23"/>
  <c r="AF86" i="3"/>
  <c r="D86" i="20"/>
  <c r="AF38" i="3"/>
  <c r="AE41" i="3" s="1"/>
  <c r="AF41" i="3" s="1"/>
  <c r="AE42" i="3" s="1"/>
  <c r="AF42" i="3" s="1"/>
  <c r="AF86" i="17"/>
  <c r="C16" i="23"/>
  <c r="AE13" i="23"/>
  <c r="AH14" i="2"/>
  <c r="B17" i="18"/>
  <c r="D17" i="18" s="1"/>
  <c r="B65" i="15"/>
  <c r="D65" i="15" s="1"/>
  <c r="B17" i="15"/>
  <c r="D17" i="15" s="1"/>
  <c r="B20" i="18"/>
  <c r="D20" i="18" s="1"/>
  <c r="B20" i="15"/>
  <c r="D20" i="15" s="1"/>
  <c r="B68" i="15"/>
  <c r="D68" i="15" s="1"/>
  <c r="B19" i="18"/>
  <c r="D19" i="18" s="1"/>
  <c r="B67" i="15"/>
  <c r="D67" i="15" s="1"/>
  <c r="B19" i="15"/>
  <c r="D19" i="15" s="1"/>
  <c r="B18" i="15"/>
  <c r="D18" i="15" s="1"/>
  <c r="B18" i="18"/>
  <c r="D18" i="18" s="1"/>
  <c r="B66" i="15"/>
  <c r="D66" i="15" s="1"/>
  <c r="AN62" i="17"/>
  <c r="AN70" i="17" s="1"/>
  <c r="AN14" i="3"/>
  <c r="AN22" i="3" s="1"/>
  <c r="AN62" i="3"/>
  <c r="AN70" i="3" s="1"/>
  <c r="AM75" i="3" s="1"/>
  <c r="AN14" i="17"/>
  <c r="AN22" i="17" s="1"/>
  <c r="AT19" i="3"/>
  <c r="AV19" i="3" s="1"/>
  <c r="AT19" i="17"/>
  <c r="AV19" i="17" s="1"/>
  <c r="AT67" i="17"/>
  <c r="AV67" i="17" s="1"/>
  <c r="AT67" i="3"/>
  <c r="AV67" i="3" s="1"/>
  <c r="AT18" i="3"/>
  <c r="AV18" i="3" s="1"/>
  <c r="AT66" i="3"/>
  <c r="AV66" i="3" s="1"/>
  <c r="AT18" i="17"/>
  <c r="AV18" i="17" s="1"/>
  <c r="AT66" i="17"/>
  <c r="AV66" i="17" s="1"/>
  <c r="AT65" i="17"/>
  <c r="AV65" i="17" s="1"/>
  <c r="AT17" i="3"/>
  <c r="AV17" i="3" s="1"/>
  <c r="AT17" i="17"/>
  <c r="AV17" i="17" s="1"/>
  <c r="AT65" i="3"/>
  <c r="AV65" i="3" s="1"/>
  <c r="C90" i="21" l="1"/>
  <c r="D90" i="21" s="1"/>
  <c r="D97" i="21" s="1"/>
  <c r="AD21" i="23" s="1"/>
  <c r="AB95" i="17"/>
  <c r="AB97" i="17" s="1"/>
  <c r="AM75" i="17"/>
  <c r="AN75" i="17" s="1"/>
  <c r="AE89" i="17"/>
  <c r="AF89" i="17" s="1"/>
  <c r="AE90" i="17" s="1"/>
  <c r="AF90" i="17" s="1"/>
  <c r="AF95" i="17" s="1"/>
  <c r="AF97" i="17" s="1"/>
  <c r="AE41" i="17"/>
  <c r="AF41" i="17" s="1"/>
  <c r="AE42" i="17" s="1"/>
  <c r="AF42" i="17" s="1"/>
  <c r="AF49" i="17" s="1"/>
  <c r="W15" i="23" s="1"/>
  <c r="AE89" i="3"/>
  <c r="AF89" i="3" s="1"/>
  <c r="AA90" i="3"/>
  <c r="AB90" i="3" s="1"/>
  <c r="AB95" i="3" s="1"/>
  <c r="AB97" i="3" s="1"/>
  <c r="O14" i="23" s="1"/>
  <c r="AF49" i="3"/>
  <c r="G15" i="23" s="1"/>
  <c r="C89" i="20"/>
  <c r="D89" i="20" s="1"/>
  <c r="O37" i="19"/>
  <c r="P37" i="19" s="1"/>
  <c r="O36" i="19"/>
  <c r="P36" i="19" s="1"/>
  <c r="O30" i="19"/>
  <c r="P30" i="19" s="1"/>
  <c r="O35" i="19"/>
  <c r="P35" i="19" s="1"/>
  <c r="O33" i="19"/>
  <c r="P33" i="19" s="1"/>
  <c r="O31" i="19"/>
  <c r="P31" i="19" s="1"/>
  <c r="K36" i="16"/>
  <c r="L36" i="16" s="1"/>
  <c r="K35" i="16"/>
  <c r="L35" i="16" s="1"/>
  <c r="K30" i="16"/>
  <c r="L30" i="16" s="1"/>
  <c r="K33" i="16"/>
  <c r="L33" i="16" s="1"/>
  <c r="O28" i="19"/>
  <c r="P28" i="19" s="1"/>
  <c r="O32" i="19"/>
  <c r="P32" i="19" s="1"/>
  <c r="W18" i="19"/>
  <c r="W19" i="19"/>
  <c r="W18" i="16"/>
  <c r="W19" i="16" s="1"/>
  <c r="K31" i="16"/>
  <c r="L31" i="16" s="1"/>
  <c r="K37" i="16"/>
  <c r="L37" i="16" s="1"/>
  <c r="K27" i="16"/>
  <c r="L27" i="16" s="1"/>
  <c r="K34" i="16"/>
  <c r="L34" i="16" s="1"/>
  <c r="K32" i="16"/>
  <c r="L32" i="16" s="1"/>
  <c r="K28" i="16"/>
  <c r="L28" i="16" s="1"/>
  <c r="AA17" i="16"/>
  <c r="AA17" i="19"/>
  <c r="S20" i="16"/>
  <c r="T20" i="16" s="1"/>
  <c r="S22" i="19"/>
  <c r="P20" i="16"/>
  <c r="O22" i="16"/>
  <c r="AJ38" i="17"/>
  <c r="AM26" i="3"/>
  <c r="AN26" i="3" s="1"/>
  <c r="AM29" i="3"/>
  <c r="AN29" i="3" s="1"/>
  <c r="S17" i="23"/>
  <c r="AM29" i="17"/>
  <c r="AN29" i="17" s="1"/>
  <c r="AM26" i="17"/>
  <c r="AN26" i="17" s="1"/>
  <c r="K17" i="23"/>
  <c r="AN75" i="3"/>
  <c r="AN86" i="3" s="1"/>
  <c r="AM89" i="3" s="1"/>
  <c r="AN89" i="3" s="1"/>
  <c r="AM90" i="3" s="1"/>
  <c r="AN90" i="3" s="1"/>
  <c r="AA17" i="23"/>
  <c r="AJ86" i="3"/>
  <c r="AJ86" i="17"/>
  <c r="AJ38" i="3"/>
  <c r="AI41" i="3" s="1"/>
  <c r="AJ41" i="3" s="1"/>
  <c r="AI42" i="3" s="1"/>
  <c r="AJ42" i="3" s="1"/>
  <c r="C17" i="23"/>
  <c r="AE14" i="23"/>
  <c r="AI14" i="2"/>
  <c r="F65" i="18"/>
  <c r="H65" i="18" s="1"/>
  <c r="F65" i="15"/>
  <c r="H65" i="15" s="1"/>
  <c r="F17" i="15"/>
  <c r="H17" i="15" s="1"/>
  <c r="F17" i="18"/>
  <c r="H17" i="18" s="1"/>
  <c r="AR14" i="17"/>
  <c r="AR22" i="17" s="1"/>
  <c r="AR62" i="17"/>
  <c r="AR70" i="17" s="1"/>
  <c r="AR14" i="3"/>
  <c r="AR22" i="3" s="1"/>
  <c r="AR62" i="3"/>
  <c r="AR70" i="3" s="1"/>
  <c r="AQ75" i="3" s="1"/>
  <c r="F66" i="18"/>
  <c r="H66" i="18" s="1"/>
  <c r="F66" i="15"/>
  <c r="H66" i="15" s="1"/>
  <c r="F18" i="15"/>
  <c r="H18" i="15" s="1"/>
  <c r="F18" i="18"/>
  <c r="H18" i="18" s="1"/>
  <c r="F67" i="15"/>
  <c r="H67" i="15" s="1"/>
  <c r="F19" i="18"/>
  <c r="H19" i="18" s="1"/>
  <c r="F19" i="15"/>
  <c r="H19" i="15" s="1"/>
  <c r="F67" i="18"/>
  <c r="H67" i="18" s="1"/>
  <c r="AI41" i="17" l="1"/>
  <c r="AJ41" i="17" s="1"/>
  <c r="AI42" i="17" s="1"/>
  <c r="AJ42" i="17" s="1"/>
  <c r="AJ49" i="17" s="1"/>
  <c r="W16" i="23" s="1"/>
  <c r="AQ75" i="17"/>
  <c r="AR75" i="17" s="1"/>
  <c r="AI89" i="17"/>
  <c r="AJ89" i="17" s="1"/>
  <c r="AI90" i="17" s="1"/>
  <c r="AJ90" i="17" s="1"/>
  <c r="AJ95" i="17" s="1"/>
  <c r="AJ97" i="17" s="1"/>
  <c r="AI89" i="3"/>
  <c r="AJ89" i="3" s="1"/>
  <c r="AE90" i="3"/>
  <c r="AF90" i="3" s="1"/>
  <c r="AF95" i="3" s="1"/>
  <c r="AF97" i="3" s="1"/>
  <c r="O15" i="23" s="1"/>
  <c r="AJ49" i="3"/>
  <c r="G16" i="23" s="1"/>
  <c r="AN95" i="3"/>
  <c r="AN97" i="3" s="1"/>
  <c r="C90" i="20"/>
  <c r="D90" i="20" s="1"/>
  <c r="O36" i="16"/>
  <c r="P36" i="16" s="1"/>
  <c r="O33" i="16"/>
  <c r="P33" i="16" s="1"/>
  <c r="O30" i="16"/>
  <c r="P30" i="16" s="1"/>
  <c r="O35" i="16"/>
  <c r="P35" i="16" s="1"/>
  <c r="S36" i="19"/>
  <c r="T36" i="19" s="1"/>
  <c r="S30" i="19"/>
  <c r="T30" i="19" s="1"/>
  <c r="S33" i="19"/>
  <c r="T33" i="19" s="1"/>
  <c r="S35" i="19"/>
  <c r="T35" i="19" s="1"/>
  <c r="AN38" i="17"/>
  <c r="O28" i="16"/>
  <c r="P28" i="16" s="1"/>
  <c r="O34" i="16"/>
  <c r="P34" i="16" s="1"/>
  <c r="O31" i="16"/>
  <c r="P31" i="16" s="1"/>
  <c r="O27" i="16"/>
  <c r="P27" i="16" s="1"/>
  <c r="O37" i="16"/>
  <c r="P37" i="16" s="1"/>
  <c r="O32" i="16"/>
  <c r="P32" i="16" s="1"/>
  <c r="AE17" i="16"/>
  <c r="AE17" i="19"/>
  <c r="S27" i="19"/>
  <c r="T27" i="19" s="1"/>
  <c r="S28" i="19"/>
  <c r="T28" i="19" s="1"/>
  <c r="S31" i="19"/>
  <c r="T31" i="19" s="1"/>
  <c r="S32" i="19"/>
  <c r="T32" i="19" s="1"/>
  <c r="S34" i="19"/>
  <c r="T34" i="19" s="1"/>
  <c r="S37" i="19"/>
  <c r="T37" i="19" s="1"/>
  <c r="W20" i="16"/>
  <c r="AA18" i="19"/>
  <c r="AA19" i="19" s="1"/>
  <c r="AA20" i="19" s="1"/>
  <c r="AB20" i="19" s="1"/>
  <c r="AA18" i="16"/>
  <c r="AA19" i="16"/>
  <c r="AA20" i="16" s="1"/>
  <c r="AB20" i="16" s="1"/>
  <c r="W20" i="19"/>
  <c r="X20" i="19" s="1"/>
  <c r="S22" i="16"/>
  <c r="S18" i="23"/>
  <c r="AQ29" i="17"/>
  <c r="AR29" i="17" s="1"/>
  <c r="AQ26" i="17"/>
  <c r="AR26" i="17" s="1"/>
  <c r="K18" i="23"/>
  <c r="AR75" i="3"/>
  <c r="AR86" i="3" s="1"/>
  <c r="AQ89" i="3" s="1"/>
  <c r="AR89" i="3" s="1"/>
  <c r="AQ90" i="3" s="1"/>
  <c r="AR90" i="3" s="1"/>
  <c r="AQ29" i="3"/>
  <c r="AR29" i="3" s="1"/>
  <c r="AQ26" i="3"/>
  <c r="AR26" i="3" s="1"/>
  <c r="AA18" i="23"/>
  <c r="AN38" i="3"/>
  <c r="AM41" i="3" s="1"/>
  <c r="AN41" i="3" s="1"/>
  <c r="AM42" i="3" s="1"/>
  <c r="AN42" i="3" s="1"/>
  <c r="AN86" i="17"/>
  <c r="C18" i="23"/>
  <c r="AE15" i="23"/>
  <c r="AJ14" i="2"/>
  <c r="J67" i="18"/>
  <c r="L67" i="18" s="1"/>
  <c r="J19" i="18"/>
  <c r="L19" i="18" s="1"/>
  <c r="J67" i="15"/>
  <c r="L67" i="15" s="1"/>
  <c r="J19" i="15"/>
  <c r="L19" i="15" s="1"/>
  <c r="J18" i="15"/>
  <c r="L18" i="15" s="1"/>
  <c r="J66" i="18"/>
  <c r="L66" i="18" s="1"/>
  <c r="J66" i="15"/>
  <c r="L66" i="15" s="1"/>
  <c r="J18" i="18"/>
  <c r="L18" i="18" s="1"/>
  <c r="AV62" i="3"/>
  <c r="AV70" i="3" s="1"/>
  <c r="AU75" i="3" s="1"/>
  <c r="AV62" i="17"/>
  <c r="AV70" i="17" s="1"/>
  <c r="AV14" i="17"/>
  <c r="AV22" i="17" s="1"/>
  <c r="AV14" i="3"/>
  <c r="AV22" i="3" s="1"/>
  <c r="J65" i="15"/>
  <c r="L65" i="15" s="1"/>
  <c r="J65" i="18"/>
  <c r="L65" i="18" s="1"/>
  <c r="J17" i="18"/>
  <c r="L17" i="18" s="1"/>
  <c r="J17" i="15"/>
  <c r="L17" i="15" s="1"/>
  <c r="AU75" i="17" l="1"/>
  <c r="AV75" i="17" s="1"/>
  <c r="AM89" i="17"/>
  <c r="AN89" i="17" s="1"/>
  <c r="AM90" i="17" s="1"/>
  <c r="AN90" i="17" s="1"/>
  <c r="AN95" i="17" s="1"/>
  <c r="AN97" i="17" s="1"/>
  <c r="AM41" i="17"/>
  <c r="AN41" i="17" s="1"/>
  <c r="AM42" i="17" s="1"/>
  <c r="AN42" i="17" s="1"/>
  <c r="AN49" i="17" s="1"/>
  <c r="W17" i="23" s="1"/>
  <c r="D97" i="20"/>
  <c r="N21" i="23" s="1"/>
  <c r="T4" i="6" s="1"/>
  <c r="U4" i="6" s="1"/>
  <c r="AI90" i="3"/>
  <c r="AJ90" i="3" s="1"/>
  <c r="AJ95" i="3" s="1"/>
  <c r="AJ97" i="3" s="1"/>
  <c r="O16" i="23" s="1"/>
  <c r="AN49" i="3"/>
  <c r="G17" i="23" s="1"/>
  <c r="AR95" i="3"/>
  <c r="AR97" i="3" s="1"/>
  <c r="AR38" i="17"/>
  <c r="S36" i="16"/>
  <c r="T36" i="16" s="1"/>
  <c r="S33" i="16"/>
  <c r="T33" i="16" s="1"/>
  <c r="S35" i="16"/>
  <c r="T35" i="16" s="1"/>
  <c r="S30" i="16"/>
  <c r="T30" i="16" s="1"/>
  <c r="AA22" i="19"/>
  <c r="AA28" i="19" s="1"/>
  <c r="AB28" i="19" s="1"/>
  <c r="AA22" i="16"/>
  <c r="AA32" i="16" s="1"/>
  <c r="AB32" i="16" s="1"/>
  <c r="AE18" i="19"/>
  <c r="AE19" i="19" s="1"/>
  <c r="AE20" i="19" s="1"/>
  <c r="AF20" i="19" s="1"/>
  <c r="AE18" i="16"/>
  <c r="AE19" i="16" s="1"/>
  <c r="AE20" i="16"/>
  <c r="AF20" i="16" s="1"/>
  <c r="AA27" i="19"/>
  <c r="AB27" i="19" s="1"/>
  <c r="AI17" i="16"/>
  <c r="AI17" i="19"/>
  <c r="X20" i="16"/>
  <c r="W22" i="16"/>
  <c r="S34" i="16"/>
  <c r="T34" i="16" s="1"/>
  <c r="S32" i="16"/>
  <c r="T32" i="16" s="1"/>
  <c r="S37" i="16"/>
  <c r="T37" i="16" s="1"/>
  <c r="S27" i="16"/>
  <c r="T27" i="16" s="1"/>
  <c r="S28" i="16"/>
  <c r="T28" i="16" s="1"/>
  <c r="S31" i="16"/>
  <c r="T31" i="16" s="1"/>
  <c r="AA27" i="16"/>
  <c r="AB27" i="16" s="1"/>
  <c r="W22" i="19"/>
  <c r="AU29" i="3"/>
  <c r="AV29" i="3" s="1"/>
  <c r="AU26" i="3"/>
  <c r="AV26" i="3" s="1"/>
  <c r="S19" i="23"/>
  <c r="AU26" i="17"/>
  <c r="AV26" i="17" s="1"/>
  <c r="AU29" i="17"/>
  <c r="AV29" i="17" s="1"/>
  <c r="K19" i="23"/>
  <c r="AV75" i="3"/>
  <c r="AA19" i="23"/>
  <c r="AR38" i="3"/>
  <c r="AQ41" i="3" s="1"/>
  <c r="AR41" i="3" s="1"/>
  <c r="AQ42" i="3" s="1"/>
  <c r="AR42" i="3" s="1"/>
  <c r="AR86" i="17"/>
  <c r="C19" i="23"/>
  <c r="AE16" i="23"/>
  <c r="AK14" i="2"/>
  <c r="N65" i="18"/>
  <c r="P65" i="18" s="1"/>
  <c r="N17" i="18"/>
  <c r="P17" i="18" s="1"/>
  <c r="N65" i="15"/>
  <c r="P65" i="15" s="1"/>
  <c r="N17" i="15"/>
  <c r="P17" i="15" s="1"/>
  <c r="N18" i="18"/>
  <c r="P18" i="18" s="1"/>
  <c r="N18" i="15"/>
  <c r="P18" i="15" s="1"/>
  <c r="N66" i="15"/>
  <c r="P66" i="15" s="1"/>
  <c r="N66" i="18"/>
  <c r="P66" i="18" s="1"/>
  <c r="N67" i="15"/>
  <c r="P67" i="15" s="1"/>
  <c r="N67" i="18"/>
  <c r="P67" i="18" s="1"/>
  <c r="N19" i="15"/>
  <c r="P19" i="15" s="1"/>
  <c r="N19" i="18"/>
  <c r="P19" i="18" s="1"/>
  <c r="D62" i="15"/>
  <c r="D70" i="15" s="1"/>
  <c r="L8" i="23" l="1"/>
  <c r="C75" i="15"/>
  <c r="D75" i="15" s="1"/>
  <c r="AQ41" i="17"/>
  <c r="AR41" i="17" s="1"/>
  <c r="AQ42" i="17" s="1"/>
  <c r="AR42" i="17" s="1"/>
  <c r="AR49" i="17" s="1"/>
  <c r="W18" i="23" s="1"/>
  <c r="AR49" i="3"/>
  <c r="G18" i="23" s="1"/>
  <c r="AQ89" i="17"/>
  <c r="AR89" i="17" s="1"/>
  <c r="AQ90" i="17" s="1"/>
  <c r="AR90" i="17" s="1"/>
  <c r="AR95" i="17" s="1"/>
  <c r="AR97" i="17" s="1"/>
  <c r="AA31" i="16"/>
  <c r="AB31" i="16" s="1"/>
  <c r="AA31" i="19"/>
  <c r="AB31" i="19" s="1"/>
  <c r="AA37" i="16"/>
  <c r="AB37" i="16" s="1"/>
  <c r="AA34" i="16"/>
  <c r="AB34" i="16" s="1"/>
  <c r="AA28" i="16"/>
  <c r="AB28" i="16" s="1"/>
  <c r="AA34" i="19"/>
  <c r="AB34" i="19" s="1"/>
  <c r="W36" i="16"/>
  <c r="X36" i="16" s="1"/>
  <c r="W30" i="16"/>
  <c r="X30" i="16" s="1"/>
  <c r="W35" i="16"/>
  <c r="X35" i="16" s="1"/>
  <c r="W33" i="16"/>
  <c r="X33" i="16" s="1"/>
  <c r="AA36" i="16"/>
  <c r="AB36" i="16" s="1"/>
  <c r="AA30" i="16"/>
  <c r="AB30" i="16" s="1"/>
  <c r="AA35" i="16"/>
  <c r="AB35" i="16" s="1"/>
  <c r="AA33" i="16"/>
  <c r="AB33" i="16" s="1"/>
  <c r="AA36" i="19"/>
  <c r="AB36" i="19" s="1"/>
  <c r="AA33" i="19"/>
  <c r="AB33" i="19" s="1"/>
  <c r="AA35" i="19"/>
  <c r="AB35" i="19" s="1"/>
  <c r="AA30" i="19"/>
  <c r="AB30" i="19" s="1"/>
  <c r="W36" i="19"/>
  <c r="X36" i="19" s="1"/>
  <c r="W33" i="19"/>
  <c r="X33" i="19" s="1"/>
  <c r="W30" i="19"/>
  <c r="X30" i="19" s="1"/>
  <c r="W35" i="19"/>
  <c r="X35" i="19" s="1"/>
  <c r="AA32" i="19"/>
  <c r="AB32" i="19" s="1"/>
  <c r="AA37" i="19"/>
  <c r="AB37" i="19" s="1"/>
  <c r="AE22" i="16"/>
  <c r="AE34" i="16" s="1"/>
  <c r="AF34" i="16" s="1"/>
  <c r="AE27" i="16"/>
  <c r="AF27" i="16" s="1"/>
  <c r="W27" i="19"/>
  <c r="X27" i="19" s="1"/>
  <c r="W31" i="19"/>
  <c r="X31" i="19" s="1"/>
  <c r="W34" i="19"/>
  <c r="X34" i="19" s="1"/>
  <c r="W28" i="19"/>
  <c r="X28" i="19" s="1"/>
  <c r="W32" i="19"/>
  <c r="X32" i="19" s="1"/>
  <c r="W37" i="19"/>
  <c r="X37" i="19" s="1"/>
  <c r="W31" i="16"/>
  <c r="X31" i="16" s="1"/>
  <c r="W28" i="16"/>
  <c r="X28" i="16" s="1"/>
  <c r="W34" i="16"/>
  <c r="X34" i="16" s="1"/>
  <c r="W32" i="16"/>
  <c r="X32" i="16" s="1"/>
  <c r="W37" i="16"/>
  <c r="X37" i="16" s="1"/>
  <c r="W27" i="16"/>
  <c r="X27" i="16" s="1"/>
  <c r="AM17" i="16"/>
  <c r="AM17" i="19"/>
  <c r="AI18" i="19"/>
  <c r="AI19" i="19" s="1"/>
  <c r="AI20" i="19" s="1"/>
  <c r="AE22" i="19"/>
  <c r="AI18" i="16"/>
  <c r="AI19" i="16" s="1"/>
  <c r="AI20" i="16" s="1"/>
  <c r="AJ20" i="16" s="1"/>
  <c r="AV86" i="3"/>
  <c r="AV38" i="17"/>
  <c r="AV38" i="3"/>
  <c r="AV86" i="17"/>
  <c r="AE17" i="23"/>
  <c r="O17" i="23"/>
  <c r="AL14" i="2"/>
  <c r="H62" i="15"/>
  <c r="H70" i="15" s="1"/>
  <c r="G75" i="15" s="1"/>
  <c r="D14" i="18"/>
  <c r="D22" i="18" s="1"/>
  <c r="D62" i="18"/>
  <c r="D70" i="18" s="1"/>
  <c r="D14" i="15"/>
  <c r="D22" i="15" s="1"/>
  <c r="H14" i="15"/>
  <c r="H22" i="15" s="1"/>
  <c r="R19" i="15"/>
  <c r="T19" i="15" s="1"/>
  <c r="R19" i="18"/>
  <c r="T19" i="18" s="1"/>
  <c r="R67" i="18"/>
  <c r="T67" i="18" s="1"/>
  <c r="R67" i="15"/>
  <c r="T67" i="15" s="1"/>
  <c r="R18" i="15"/>
  <c r="T18" i="15" s="1"/>
  <c r="R66" i="18"/>
  <c r="T66" i="18" s="1"/>
  <c r="R66" i="15"/>
  <c r="T66" i="15" s="1"/>
  <c r="R18" i="18"/>
  <c r="T18" i="18" s="1"/>
  <c r="R17" i="18"/>
  <c r="T17" i="18" s="1"/>
  <c r="R65" i="15"/>
  <c r="T65" i="15" s="1"/>
  <c r="R17" i="15"/>
  <c r="T17" i="15" s="1"/>
  <c r="R65" i="18"/>
  <c r="T65" i="18" s="1"/>
  <c r="D8" i="23" l="1"/>
  <c r="AU41" i="3"/>
  <c r="AV41" i="3" s="1"/>
  <c r="AU42" i="3" s="1"/>
  <c r="AV42" i="3" s="1"/>
  <c r="AU89" i="17"/>
  <c r="AV89" i="17" s="1"/>
  <c r="AU90" i="17" s="1"/>
  <c r="AV90" i="17" s="1"/>
  <c r="AV95" i="17" s="1"/>
  <c r="AV97" i="17" s="1"/>
  <c r="AU41" i="17"/>
  <c r="AV41" i="17" s="1"/>
  <c r="AU42" i="17" s="1"/>
  <c r="AV42" i="17" s="1"/>
  <c r="AV49" i="17" s="1"/>
  <c r="W19" i="23" s="1"/>
  <c r="C75" i="18"/>
  <c r="D75" i="18" s="1"/>
  <c r="AU89" i="3"/>
  <c r="AV89" i="3" s="1"/>
  <c r="AE37" i="16"/>
  <c r="AF37" i="16" s="1"/>
  <c r="AE31" i="16"/>
  <c r="AF31" i="16" s="1"/>
  <c r="AE32" i="16"/>
  <c r="AF32" i="16" s="1"/>
  <c r="AE36" i="16"/>
  <c r="AF36" i="16" s="1"/>
  <c r="AE30" i="16"/>
  <c r="AF30" i="16" s="1"/>
  <c r="AE35" i="16"/>
  <c r="AF35" i="16" s="1"/>
  <c r="AE33" i="16"/>
  <c r="AF33" i="16" s="1"/>
  <c r="AE30" i="19"/>
  <c r="AF30" i="19" s="1"/>
  <c r="AE33" i="19"/>
  <c r="AF33" i="19" s="1"/>
  <c r="AE36" i="19"/>
  <c r="AF36" i="19" s="1"/>
  <c r="AE35" i="19"/>
  <c r="AF35" i="19" s="1"/>
  <c r="AE28" i="16"/>
  <c r="AF28" i="16" s="1"/>
  <c r="AI22" i="16"/>
  <c r="AI37" i="16" s="1"/>
  <c r="AJ37" i="16" s="1"/>
  <c r="AJ20" i="19"/>
  <c r="AI22" i="19"/>
  <c r="AM18" i="19"/>
  <c r="AM19" i="19"/>
  <c r="AM20" i="19" s="1"/>
  <c r="AN20" i="19" s="1"/>
  <c r="AM18" i="16"/>
  <c r="AM19" i="16"/>
  <c r="AM20" i="16" s="1"/>
  <c r="AQ17" i="19"/>
  <c r="AQ17" i="16"/>
  <c r="AI27" i="16"/>
  <c r="AJ27" i="16" s="1"/>
  <c r="AU17" i="16"/>
  <c r="AU17" i="19"/>
  <c r="AE34" i="19"/>
  <c r="AF34" i="19" s="1"/>
  <c r="AE27" i="19"/>
  <c r="AF27" i="19" s="1"/>
  <c r="AE37" i="19"/>
  <c r="AF37" i="19" s="1"/>
  <c r="AE28" i="19"/>
  <c r="AF28" i="19" s="1"/>
  <c r="AE31" i="19"/>
  <c r="AF31" i="19" s="1"/>
  <c r="AE32" i="19"/>
  <c r="AF32" i="19" s="1"/>
  <c r="T8" i="23"/>
  <c r="C26" i="18"/>
  <c r="D26" i="18" s="1"/>
  <c r="C29" i="18"/>
  <c r="D29" i="18" s="1"/>
  <c r="G26" i="15"/>
  <c r="H26" i="15" s="1"/>
  <c r="G29" i="15"/>
  <c r="H29" i="15" s="1"/>
  <c r="C26" i="15"/>
  <c r="D26" i="15" s="1"/>
  <c r="C29" i="15"/>
  <c r="D29" i="15" s="1"/>
  <c r="D86" i="15"/>
  <c r="D9" i="23"/>
  <c r="AE18" i="23"/>
  <c r="O18" i="23"/>
  <c r="H62" i="18"/>
  <c r="H70" i="18" s="1"/>
  <c r="H14" i="18"/>
  <c r="L62" i="15"/>
  <c r="L14" i="18"/>
  <c r="L22" i="18" s="1"/>
  <c r="L62" i="18"/>
  <c r="L70" i="18" s="1"/>
  <c r="L14" i="15"/>
  <c r="L22" i="15" s="1"/>
  <c r="V65" i="18"/>
  <c r="X65" i="18" s="1"/>
  <c r="V17" i="15"/>
  <c r="X17" i="15" s="1"/>
  <c r="V65" i="15"/>
  <c r="X65" i="15" s="1"/>
  <c r="V17" i="18"/>
  <c r="X17" i="18" s="1"/>
  <c r="V18" i="18"/>
  <c r="X18" i="18" s="1"/>
  <c r="V66" i="18"/>
  <c r="X66" i="18" s="1"/>
  <c r="V18" i="15"/>
  <c r="X18" i="15" s="1"/>
  <c r="V66" i="15"/>
  <c r="X66" i="15" s="1"/>
  <c r="V19" i="18"/>
  <c r="X19" i="18" s="1"/>
  <c r="V67" i="18"/>
  <c r="X67" i="18" s="1"/>
  <c r="V67" i="15"/>
  <c r="X67" i="15" s="1"/>
  <c r="V19" i="15"/>
  <c r="X19" i="15" s="1"/>
  <c r="AV49" i="3" l="1"/>
  <c r="G19" i="23" s="1"/>
  <c r="K75" i="18"/>
  <c r="L75" i="18" s="1"/>
  <c r="G75" i="18"/>
  <c r="H75" i="18" s="1"/>
  <c r="C89" i="15"/>
  <c r="D89" i="15" s="1"/>
  <c r="C90" i="15" s="1"/>
  <c r="D90" i="15" s="1"/>
  <c r="D95" i="15" s="1"/>
  <c r="D97" i="15" s="1"/>
  <c r="P8" i="23" s="1"/>
  <c r="AU90" i="3"/>
  <c r="AV90" i="3" s="1"/>
  <c r="AV95" i="3" s="1"/>
  <c r="AV97" i="3" s="1"/>
  <c r="O19" i="23" s="1"/>
  <c r="D38" i="15"/>
  <c r="AI34" i="16"/>
  <c r="AJ34" i="16" s="1"/>
  <c r="AI32" i="16"/>
  <c r="AJ32" i="16" s="1"/>
  <c r="AI28" i="16"/>
  <c r="AJ28" i="16" s="1"/>
  <c r="AI36" i="16"/>
  <c r="AJ36" i="16" s="1"/>
  <c r="AI30" i="16"/>
  <c r="AJ30" i="16" s="1"/>
  <c r="AI33" i="16"/>
  <c r="AJ33" i="16" s="1"/>
  <c r="AI35" i="16"/>
  <c r="AJ35" i="16" s="1"/>
  <c r="AI36" i="19"/>
  <c r="AJ36" i="19" s="1"/>
  <c r="AI35" i="19"/>
  <c r="AJ35" i="19" s="1"/>
  <c r="AI33" i="19"/>
  <c r="AJ33" i="19" s="1"/>
  <c r="AI30" i="19"/>
  <c r="AJ30" i="19" s="1"/>
  <c r="AI31" i="16"/>
  <c r="AJ31" i="16" s="1"/>
  <c r="AN20" i="16"/>
  <c r="AM22" i="16"/>
  <c r="AQ18" i="16"/>
  <c r="AQ19" i="16"/>
  <c r="AQ20" i="16" s="1"/>
  <c r="AR20" i="16" s="1"/>
  <c r="AU18" i="19"/>
  <c r="AU19" i="19" s="1"/>
  <c r="AU20" i="19" s="1"/>
  <c r="AV20" i="19" s="1"/>
  <c r="AQ18" i="19"/>
  <c r="AQ19" i="19"/>
  <c r="AQ20" i="19" s="1"/>
  <c r="AR20" i="19" s="1"/>
  <c r="AU18" i="16"/>
  <c r="AM22" i="19"/>
  <c r="AI28" i="19"/>
  <c r="AJ28" i="19" s="1"/>
  <c r="AI31" i="19"/>
  <c r="AJ31" i="19" s="1"/>
  <c r="AI34" i="19"/>
  <c r="AJ34" i="19" s="1"/>
  <c r="AI27" i="19"/>
  <c r="AJ27" i="19" s="1"/>
  <c r="AI32" i="19"/>
  <c r="AJ32" i="19" s="1"/>
  <c r="AI37" i="19"/>
  <c r="AJ37" i="19" s="1"/>
  <c r="K26" i="15"/>
  <c r="L26" i="15" s="1"/>
  <c r="K29" i="15"/>
  <c r="L29" i="15" s="1"/>
  <c r="T10" i="23"/>
  <c r="K26" i="18"/>
  <c r="L26" i="18" s="1"/>
  <c r="K29" i="18"/>
  <c r="L29" i="18" s="1"/>
  <c r="D10" i="23"/>
  <c r="L9" i="23"/>
  <c r="H75" i="15"/>
  <c r="H86" i="15" s="1"/>
  <c r="G89" i="15" s="1"/>
  <c r="H89" i="15" s="1"/>
  <c r="G90" i="15" s="1"/>
  <c r="H90" i="15" s="1"/>
  <c r="AB8" i="23"/>
  <c r="D86" i="18"/>
  <c r="AB10" i="23"/>
  <c r="AB9" i="23"/>
  <c r="D38" i="18"/>
  <c r="H38" i="15"/>
  <c r="H22" i="18"/>
  <c r="AE19" i="23"/>
  <c r="L70" i="15"/>
  <c r="K75" i="15" s="1"/>
  <c r="P62" i="18"/>
  <c r="P70" i="18" s="1"/>
  <c r="P62" i="15"/>
  <c r="P14" i="15"/>
  <c r="P22" i="15" s="1"/>
  <c r="P14" i="18"/>
  <c r="P22" i="18" s="1"/>
  <c r="Z19" i="18"/>
  <c r="AB19" i="18" s="1"/>
  <c r="Z67" i="18"/>
  <c r="AB67" i="18" s="1"/>
  <c r="Z67" i="15"/>
  <c r="AB67" i="15" s="1"/>
  <c r="Z19" i="15"/>
  <c r="AB19" i="15" s="1"/>
  <c r="Z18" i="15"/>
  <c r="AB18" i="15" s="1"/>
  <c r="Z18" i="18"/>
  <c r="AB18" i="18" s="1"/>
  <c r="Z66" i="15"/>
  <c r="AB66" i="15" s="1"/>
  <c r="Z66" i="18"/>
  <c r="AB66" i="18" s="1"/>
  <c r="Z65" i="15"/>
  <c r="AB65" i="15" s="1"/>
  <c r="Z17" i="15"/>
  <c r="AB17" i="15" s="1"/>
  <c r="Z17" i="18"/>
  <c r="AB17" i="18" s="1"/>
  <c r="Z65" i="18"/>
  <c r="AB65" i="18" s="1"/>
  <c r="C41" i="15" l="1"/>
  <c r="D41" i="15" s="1"/>
  <c r="C42" i="15" s="1"/>
  <c r="D42" i="15" s="1"/>
  <c r="D49" i="15" s="1"/>
  <c r="H8" i="23" s="1"/>
  <c r="O75" i="18"/>
  <c r="P75" i="18" s="1"/>
  <c r="C41" i="18"/>
  <c r="D41" i="18" s="1"/>
  <c r="C42" i="18" s="1"/>
  <c r="D42" i="18" s="1"/>
  <c r="D49" i="18" s="1"/>
  <c r="X8" i="23" s="1"/>
  <c r="C89" i="18"/>
  <c r="D89" i="18" s="1"/>
  <c r="G41" i="15"/>
  <c r="H41" i="15" s="1"/>
  <c r="H95" i="15"/>
  <c r="H97" i="15" s="1"/>
  <c r="AM35" i="19"/>
  <c r="AN35" i="19" s="1"/>
  <c r="AM33" i="19"/>
  <c r="AN33" i="19" s="1"/>
  <c r="AM30" i="19"/>
  <c r="AN30" i="19" s="1"/>
  <c r="AM36" i="19"/>
  <c r="AN36" i="19" s="1"/>
  <c r="AM36" i="16"/>
  <c r="AN36" i="16" s="1"/>
  <c r="AM30" i="16"/>
  <c r="AN30" i="16" s="1"/>
  <c r="AM33" i="16"/>
  <c r="AN33" i="16" s="1"/>
  <c r="AM35" i="16"/>
  <c r="AN35" i="16" s="1"/>
  <c r="AU22" i="19"/>
  <c r="AU28" i="19"/>
  <c r="AV28" i="19" s="1"/>
  <c r="AU27" i="19"/>
  <c r="AV27" i="19" s="1"/>
  <c r="AQ22" i="19"/>
  <c r="AQ22" i="16"/>
  <c r="AM34" i="19"/>
  <c r="AN34" i="19" s="1"/>
  <c r="AM28" i="19"/>
  <c r="AN28" i="19" s="1"/>
  <c r="AM27" i="19"/>
  <c r="AN27" i="19" s="1"/>
  <c r="AM32" i="19"/>
  <c r="AN32" i="19" s="1"/>
  <c r="AM37" i="19"/>
  <c r="AN37" i="19" s="1"/>
  <c r="AM31" i="19"/>
  <c r="AN31" i="19" s="1"/>
  <c r="AM27" i="16"/>
  <c r="AN27" i="16" s="1"/>
  <c r="AM32" i="16"/>
  <c r="AN32" i="16" s="1"/>
  <c r="AM34" i="16"/>
  <c r="AN34" i="16" s="1"/>
  <c r="AM28" i="16"/>
  <c r="AN28" i="16" s="1"/>
  <c r="AM37" i="16"/>
  <c r="AN37" i="16" s="1"/>
  <c r="AM31" i="16"/>
  <c r="AN31" i="16" s="1"/>
  <c r="AU19" i="16"/>
  <c r="T11" i="23"/>
  <c r="O26" i="18"/>
  <c r="P26" i="18" s="1"/>
  <c r="O29" i="18"/>
  <c r="P29" i="18" s="1"/>
  <c r="O26" i="15"/>
  <c r="P26" i="15" s="1"/>
  <c r="O29" i="15"/>
  <c r="P29" i="15" s="1"/>
  <c r="T9" i="23"/>
  <c r="G26" i="18"/>
  <c r="H26" i="18" s="1"/>
  <c r="G29" i="18"/>
  <c r="H29" i="18" s="1"/>
  <c r="L10" i="23"/>
  <c r="L75" i="15"/>
  <c r="L86" i="15" s="1"/>
  <c r="K89" i="15" s="1"/>
  <c r="L89" i="15" s="1"/>
  <c r="K90" i="15" s="1"/>
  <c r="L90" i="15" s="1"/>
  <c r="D11" i="23"/>
  <c r="AB11" i="23"/>
  <c r="L38" i="15"/>
  <c r="K41" i="15" s="1"/>
  <c r="L41" i="15" s="1"/>
  <c r="K42" i="15" s="1"/>
  <c r="L42" i="15" s="1"/>
  <c r="L86" i="18"/>
  <c r="L38" i="18"/>
  <c r="P70" i="15"/>
  <c r="O75" i="15" s="1"/>
  <c r="T62" i="18"/>
  <c r="T70" i="18" s="1"/>
  <c r="T62" i="15"/>
  <c r="T14" i="18"/>
  <c r="T22" i="18" s="1"/>
  <c r="T14" i="15"/>
  <c r="T22" i="15" s="1"/>
  <c r="AD17" i="15"/>
  <c r="AF17" i="15" s="1"/>
  <c r="AD65" i="18"/>
  <c r="AF65" i="18" s="1"/>
  <c r="AD65" i="15"/>
  <c r="AF65" i="15" s="1"/>
  <c r="AD17" i="18"/>
  <c r="AF17" i="18" s="1"/>
  <c r="AD66" i="18"/>
  <c r="AF66" i="18" s="1"/>
  <c r="AD18" i="18"/>
  <c r="AF18" i="18" s="1"/>
  <c r="AD18" i="15"/>
  <c r="AF18" i="15" s="1"/>
  <c r="AD66" i="15"/>
  <c r="AF66" i="15" s="1"/>
  <c r="AD19" i="18"/>
  <c r="AF19" i="18" s="1"/>
  <c r="AD67" i="15"/>
  <c r="AF67" i="15" s="1"/>
  <c r="AD19" i="15"/>
  <c r="AF19" i="15" s="1"/>
  <c r="AD67" i="18"/>
  <c r="AF67" i="18" s="1"/>
  <c r="G36" i="23" l="1"/>
  <c r="G37" i="23" s="1"/>
  <c r="C90" i="18"/>
  <c r="D90" i="18" s="1"/>
  <c r="D95" i="18" s="1"/>
  <c r="D97" i="18" s="1"/>
  <c r="AF8" i="23" s="1"/>
  <c r="K89" i="18"/>
  <c r="L89" i="18" s="1"/>
  <c r="K90" i="18" s="1"/>
  <c r="L90" i="18" s="1"/>
  <c r="L95" i="18" s="1"/>
  <c r="L97" i="18" s="1"/>
  <c r="K41" i="18"/>
  <c r="L41" i="18" s="1"/>
  <c r="K42" i="18" s="1"/>
  <c r="L42" i="18" s="1"/>
  <c r="L49" i="18" s="1"/>
  <c r="X10" i="23" s="1"/>
  <c r="S75" i="18"/>
  <c r="T75" i="18" s="1"/>
  <c r="T86" i="18" s="1"/>
  <c r="G42" i="15"/>
  <c r="H42" i="15" s="1"/>
  <c r="H49" i="15" s="1"/>
  <c r="H9" i="23" s="1"/>
  <c r="L49" i="15"/>
  <c r="H10" i="23" s="1"/>
  <c r="L95" i="15"/>
  <c r="AU36" i="19"/>
  <c r="AV36" i="19" s="1"/>
  <c r="AU33" i="19"/>
  <c r="AV33" i="19" s="1"/>
  <c r="AU30" i="19"/>
  <c r="AV30" i="19" s="1"/>
  <c r="AU35" i="19"/>
  <c r="AV35" i="19" s="1"/>
  <c r="AQ36" i="16"/>
  <c r="AR36" i="16" s="1"/>
  <c r="AQ30" i="16"/>
  <c r="AR30" i="16" s="1"/>
  <c r="AQ33" i="16"/>
  <c r="AR33" i="16" s="1"/>
  <c r="AQ35" i="16"/>
  <c r="AR35" i="16" s="1"/>
  <c r="AQ36" i="19"/>
  <c r="AR36" i="19" s="1"/>
  <c r="AQ33" i="19"/>
  <c r="AR33" i="19" s="1"/>
  <c r="AQ35" i="19"/>
  <c r="AR35" i="19" s="1"/>
  <c r="AQ30" i="19"/>
  <c r="AR30" i="19" s="1"/>
  <c r="AU37" i="19"/>
  <c r="AV37" i="19" s="1"/>
  <c r="AU34" i="19"/>
  <c r="AV34" i="19" s="1"/>
  <c r="AU32" i="19"/>
  <c r="AV32" i="19" s="1"/>
  <c r="AU31" i="19"/>
  <c r="AV31" i="19" s="1"/>
  <c r="AQ32" i="16"/>
  <c r="AR32" i="16" s="1"/>
  <c r="AQ34" i="16"/>
  <c r="AR34" i="16" s="1"/>
  <c r="AQ28" i="16"/>
  <c r="AR28" i="16" s="1"/>
  <c r="AQ31" i="16"/>
  <c r="AR31" i="16" s="1"/>
  <c r="AQ27" i="16"/>
  <c r="AR27" i="16" s="1"/>
  <c r="AQ37" i="16"/>
  <c r="AR37" i="16" s="1"/>
  <c r="AU20" i="16"/>
  <c r="AV20" i="16" s="1"/>
  <c r="AQ28" i="19"/>
  <c r="AR28" i="19" s="1"/>
  <c r="AQ31" i="19"/>
  <c r="AR31" i="19" s="1"/>
  <c r="AQ34" i="19"/>
  <c r="AR34" i="19" s="1"/>
  <c r="AQ27" i="19"/>
  <c r="AR27" i="19" s="1"/>
  <c r="AQ32" i="19"/>
  <c r="AR32" i="19" s="1"/>
  <c r="AQ37" i="19"/>
  <c r="AR37" i="19" s="1"/>
  <c r="S29" i="15"/>
  <c r="T29" i="15" s="1"/>
  <c r="S26" i="15"/>
  <c r="T26" i="15" s="1"/>
  <c r="T12" i="23"/>
  <c r="S26" i="18"/>
  <c r="T26" i="18" s="1"/>
  <c r="S29" i="18"/>
  <c r="T29" i="18" s="1"/>
  <c r="D12" i="23"/>
  <c r="L11" i="23"/>
  <c r="P75" i="15"/>
  <c r="P86" i="15" s="1"/>
  <c r="O89" i="15" s="1"/>
  <c r="P89" i="15" s="1"/>
  <c r="O90" i="15" s="1"/>
  <c r="P90" i="15" s="1"/>
  <c r="AB12" i="23"/>
  <c r="P38" i="15"/>
  <c r="O41" i="15" s="1"/>
  <c r="P41" i="15" s="1"/>
  <c r="O42" i="15" s="1"/>
  <c r="P42" i="15" s="1"/>
  <c r="P86" i="18"/>
  <c r="P38" i="18"/>
  <c r="H38" i="18"/>
  <c r="H86" i="18"/>
  <c r="P9" i="23"/>
  <c r="T70" i="15"/>
  <c r="S75" i="15" s="1"/>
  <c r="X62" i="15"/>
  <c r="X14" i="18"/>
  <c r="X22" i="18" s="1"/>
  <c r="X62" i="18"/>
  <c r="X70" i="18" s="1"/>
  <c r="X14" i="15"/>
  <c r="X22" i="15" s="1"/>
  <c r="AH67" i="15"/>
  <c r="AJ67" i="15" s="1"/>
  <c r="AH19" i="18"/>
  <c r="AJ19" i="18" s="1"/>
  <c r="AH19" i="15"/>
  <c r="AJ19" i="15" s="1"/>
  <c r="AH67" i="18"/>
  <c r="AJ67" i="18" s="1"/>
  <c r="AH66" i="15"/>
  <c r="AJ66" i="15" s="1"/>
  <c r="AH18" i="15"/>
  <c r="AJ18" i="15" s="1"/>
  <c r="AH66" i="18"/>
  <c r="AJ66" i="18" s="1"/>
  <c r="AH18" i="18"/>
  <c r="AJ18" i="18" s="1"/>
  <c r="AH65" i="15"/>
  <c r="AJ65" i="15" s="1"/>
  <c r="AH17" i="15"/>
  <c r="AJ17" i="15" s="1"/>
  <c r="AH17" i="18"/>
  <c r="AJ17" i="18" s="1"/>
  <c r="AH65" i="18"/>
  <c r="AJ65" i="18" s="1"/>
  <c r="S89" i="18" l="1"/>
  <c r="T89" i="18" s="1"/>
  <c r="S90" i="18" s="1"/>
  <c r="T90" i="18" s="1"/>
  <c r="T95" i="18" s="1"/>
  <c r="T97" i="18" s="1"/>
  <c r="G41" i="18"/>
  <c r="H41" i="18" s="1"/>
  <c r="G42" i="18" s="1"/>
  <c r="H42" i="18" s="1"/>
  <c r="H49" i="18" s="1"/>
  <c r="X9" i="23" s="1"/>
  <c r="O89" i="18"/>
  <c r="P89" i="18" s="1"/>
  <c r="O90" i="18" s="1"/>
  <c r="P90" i="18" s="1"/>
  <c r="P95" i="18" s="1"/>
  <c r="P97" i="18" s="1"/>
  <c r="G89" i="18"/>
  <c r="H89" i="18" s="1"/>
  <c r="G90" i="18" s="1"/>
  <c r="H90" i="18" s="1"/>
  <c r="H95" i="18" s="1"/>
  <c r="H97" i="18" s="1"/>
  <c r="AF9" i="23" s="1"/>
  <c r="W75" i="18"/>
  <c r="X75" i="18" s="1"/>
  <c r="O41" i="18"/>
  <c r="P41" i="18" s="1"/>
  <c r="O42" i="18" s="1"/>
  <c r="P42" i="18" s="1"/>
  <c r="P49" i="18" s="1"/>
  <c r="X11" i="23" s="1"/>
  <c r="L97" i="15"/>
  <c r="P10" i="23" s="1"/>
  <c r="P95" i="15"/>
  <c r="P97" i="15" s="1"/>
  <c r="P49" i="15"/>
  <c r="H11" i="23" s="1"/>
  <c r="AU22" i="16"/>
  <c r="W29" i="15"/>
  <c r="X29" i="15" s="1"/>
  <c r="W26" i="15"/>
  <c r="X26" i="15" s="1"/>
  <c r="T13" i="23"/>
  <c r="W26" i="18"/>
  <c r="X26" i="18" s="1"/>
  <c r="W29" i="18"/>
  <c r="X29" i="18" s="1"/>
  <c r="L12" i="23"/>
  <c r="T75" i="15"/>
  <c r="T86" i="15" s="1"/>
  <c r="S89" i="15" s="1"/>
  <c r="T89" i="15" s="1"/>
  <c r="S90" i="15" s="1"/>
  <c r="T90" i="15" s="1"/>
  <c r="D13" i="23"/>
  <c r="AB13" i="23"/>
  <c r="T38" i="15"/>
  <c r="S41" i="15" s="1"/>
  <c r="T41" i="15" s="1"/>
  <c r="S42" i="15" s="1"/>
  <c r="T42" i="15" s="1"/>
  <c r="T38" i="18"/>
  <c r="AF10" i="23"/>
  <c r="X70" i="15"/>
  <c r="W75" i="15" s="1"/>
  <c r="AB14" i="18"/>
  <c r="AB22" i="18" s="1"/>
  <c r="AB14" i="15"/>
  <c r="AB22" i="15" s="1"/>
  <c r="AB62" i="15"/>
  <c r="AB62" i="18"/>
  <c r="AB70" i="18" s="1"/>
  <c r="AL17" i="18"/>
  <c r="AN17" i="18" s="1"/>
  <c r="AL65" i="18"/>
  <c r="AN65" i="18" s="1"/>
  <c r="AL65" i="15"/>
  <c r="AN65" i="15" s="1"/>
  <c r="AL17" i="15"/>
  <c r="AN17" i="15" s="1"/>
  <c r="AL66" i="15"/>
  <c r="AN66" i="15" s="1"/>
  <c r="AL66" i="18"/>
  <c r="AN66" i="18" s="1"/>
  <c r="AL18" i="18"/>
  <c r="AN18" i="18" s="1"/>
  <c r="AL18" i="15"/>
  <c r="AN18" i="15" s="1"/>
  <c r="AL19" i="15"/>
  <c r="AN19" i="15" s="1"/>
  <c r="AL67" i="15"/>
  <c r="AN67" i="15" s="1"/>
  <c r="AL19" i="18"/>
  <c r="AN19" i="18" s="1"/>
  <c r="AL67" i="18"/>
  <c r="AN67" i="18" s="1"/>
  <c r="S41" i="18" l="1"/>
  <c r="T41" i="18" s="1"/>
  <c r="S42" i="18" s="1"/>
  <c r="T42" i="18" s="1"/>
  <c r="T49" i="18" s="1"/>
  <c r="X12" i="23" s="1"/>
  <c r="AA75" i="18"/>
  <c r="AB75" i="18" s="1"/>
  <c r="T95" i="15"/>
  <c r="T97" i="15" s="1"/>
  <c r="T49" i="15"/>
  <c r="H12" i="23"/>
  <c r="AU36" i="16"/>
  <c r="AV36" i="16" s="1"/>
  <c r="AU30" i="16"/>
  <c r="AV30" i="16" s="1"/>
  <c r="AU35" i="16"/>
  <c r="AV35" i="16" s="1"/>
  <c r="AU33" i="16"/>
  <c r="AV33" i="16" s="1"/>
  <c r="AU34" i="16"/>
  <c r="AV34" i="16" s="1"/>
  <c r="AU32" i="16"/>
  <c r="AV32" i="16" s="1"/>
  <c r="AU37" i="16"/>
  <c r="AV37" i="16" s="1"/>
  <c r="AU28" i="16"/>
  <c r="AV28" i="16" s="1"/>
  <c r="AU27" i="16"/>
  <c r="AV27" i="16" s="1"/>
  <c r="AU31" i="16"/>
  <c r="AV31" i="16" s="1"/>
  <c r="AA29" i="15"/>
  <c r="AB29" i="15" s="1"/>
  <c r="AA26" i="15"/>
  <c r="AB26" i="15" s="1"/>
  <c r="T14" i="23"/>
  <c r="AA29" i="18"/>
  <c r="AB29" i="18" s="1"/>
  <c r="AA26" i="18"/>
  <c r="AB26" i="18" s="1"/>
  <c r="D14" i="23"/>
  <c r="X38" i="15"/>
  <c r="W41" i="15" s="1"/>
  <c r="X41" i="15" s="1"/>
  <c r="W42" i="15" s="1"/>
  <c r="X42" i="15" s="1"/>
  <c r="L13" i="23"/>
  <c r="X75" i="15"/>
  <c r="X86" i="15" s="1"/>
  <c r="W89" i="15" s="1"/>
  <c r="X89" i="15" s="1"/>
  <c r="W90" i="15" s="1"/>
  <c r="X90" i="15" s="1"/>
  <c r="AB14" i="23"/>
  <c r="X86" i="18"/>
  <c r="X38" i="18"/>
  <c r="AF11" i="23"/>
  <c r="P11" i="23"/>
  <c r="AB70" i="15"/>
  <c r="AA75" i="15" s="1"/>
  <c r="AF62" i="18"/>
  <c r="AF70" i="18" s="1"/>
  <c r="AF14" i="18"/>
  <c r="AF22" i="18" s="1"/>
  <c r="AF14" i="15"/>
  <c r="AF22" i="15" s="1"/>
  <c r="AF62" i="15"/>
  <c r="AP67" i="15"/>
  <c r="AR67" i="15" s="1"/>
  <c r="AP19" i="18"/>
  <c r="AR19" i="18" s="1"/>
  <c r="AP67" i="18"/>
  <c r="AR67" i="18" s="1"/>
  <c r="AP19" i="15"/>
  <c r="AR19" i="15" s="1"/>
  <c r="AP18" i="15"/>
  <c r="AR18" i="15" s="1"/>
  <c r="AP18" i="18"/>
  <c r="AR18" i="18" s="1"/>
  <c r="AP66" i="18"/>
  <c r="AR66" i="18" s="1"/>
  <c r="AP66" i="15"/>
  <c r="AR66" i="15" s="1"/>
  <c r="AP17" i="18"/>
  <c r="AR17" i="18" s="1"/>
  <c r="AP17" i="15"/>
  <c r="AR17" i="15" s="1"/>
  <c r="AP65" i="15"/>
  <c r="AR65" i="15" s="1"/>
  <c r="AP65" i="18"/>
  <c r="AR65" i="18" s="1"/>
  <c r="W41" i="18" l="1"/>
  <c r="X41" i="18" s="1"/>
  <c r="W42" i="18" s="1"/>
  <c r="X42" i="18" s="1"/>
  <c r="X49" i="18" s="1"/>
  <c r="X13" i="23" s="1"/>
  <c r="W89" i="18"/>
  <c r="X89" i="18" s="1"/>
  <c r="W90" i="18" s="1"/>
  <c r="X90" i="18" s="1"/>
  <c r="X95" i="18" s="1"/>
  <c r="X97" i="18" s="1"/>
  <c r="AE75" i="18"/>
  <c r="AF75" i="18" s="1"/>
  <c r="X49" i="15"/>
  <c r="H13" i="23" s="1"/>
  <c r="X95" i="15"/>
  <c r="X97" i="15" s="1"/>
  <c r="T15" i="23"/>
  <c r="AE26" i="18"/>
  <c r="AF26" i="18" s="1"/>
  <c r="AE29" i="18"/>
  <c r="AF29" i="18" s="1"/>
  <c r="AE26" i="15"/>
  <c r="AF26" i="15" s="1"/>
  <c r="AE29" i="15"/>
  <c r="AF29" i="15" s="1"/>
  <c r="D15" i="23"/>
  <c r="L14" i="23"/>
  <c r="AB75" i="15"/>
  <c r="AB86" i="15" s="1"/>
  <c r="AA89" i="15" s="1"/>
  <c r="AB89" i="15" s="1"/>
  <c r="AA90" i="15" s="1"/>
  <c r="AB90" i="15" s="1"/>
  <c r="AB15" i="23"/>
  <c r="AB38" i="18"/>
  <c r="AB38" i="15"/>
  <c r="AA41" i="15" s="1"/>
  <c r="AB41" i="15" s="1"/>
  <c r="AA42" i="15" s="1"/>
  <c r="AB42" i="15" s="1"/>
  <c r="AB86" i="18"/>
  <c r="AF12" i="23"/>
  <c r="P12" i="23"/>
  <c r="AF70" i="15"/>
  <c r="AE75" i="15" s="1"/>
  <c r="AJ14" i="15"/>
  <c r="AJ22" i="15" s="1"/>
  <c r="AJ14" i="18"/>
  <c r="AJ22" i="18" s="1"/>
  <c r="AJ62" i="18"/>
  <c r="AJ70" i="18" s="1"/>
  <c r="AJ62" i="15"/>
  <c r="AT17" i="18"/>
  <c r="AV17" i="18" s="1"/>
  <c r="AT65" i="15"/>
  <c r="AV65" i="15" s="1"/>
  <c r="AT17" i="15"/>
  <c r="AV17" i="15" s="1"/>
  <c r="AT65" i="18"/>
  <c r="AV65" i="18" s="1"/>
  <c r="AT66" i="15"/>
  <c r="AV66" i="15" s="1"/>
  <c r="AT18" i="18"/>
  <c r="AV18" i="18" s="1"/>
  <c r="AT66" i="18"/>
  <c r="AV66" i="18" s="1"/>
  <c r="AT18" i="15"/>
  <c r="AV18" i="15" s="1"/>
  <c r="AT19" i="18"/>
  <c r="AV19" i="18" s="1"/>
  <c r="AT67" i="18"/>
  <c r="AV67" i="18" s="1"/>
  <c r="AT67" i="15"/>
  <c r="AV67" i="15" s="1"/>
  <c r="AT19" i="15"/>
  <c r="AV19" i="15" s="1"/>
  <c r="AA41" i="18" l="1"/>
  <c r="AB41" i="18" s="1"/>
  <c r="AA42" i="18" s="1"/>
  <c r="AB42" i="18" s="1"/>
  <c r="AB49" i="18" s="1"/>
  <c r="X14" i="23" s="1"/>
  <c r="AI75" i="18"/>
  <c r="AJ75" i="18" s="1"/>
  <c r="AA89" i="18"/>
  <c r="AB89" i="18" s="1"/>
  <c r="AA90" i="18" s="1"/>
  <c r="AB90" i="18" s="1"/>
  <c r="AB95" i="18" s="1"/>
  <c r="AB97" i="18" s="1"/>
  <c r="AB95" i="15"/>
  <c r="AB97" i="15" s="1"/>
  <c r="AB49" i="15"/>
  <c r="H14" i="23" s="1"/>
  <c r="T16" i="23"/>
  <c r="AI29" i="18"/>
  <c r="AJ29" i="18" s="1"/>
  <c r="AI26" i="18"/>
  <c r="AJ26" i="18" s="1"/>
  <c r="AI26" i="15"/>
  <c r="AJ26" i="15" s="1"/>
  <c r="AI29" i="15"/>
  <c r="AJ29" i="15" s="1"/>
  <c r="D16" i="23"/>
  <c r="L15" i="23"/>
  <c r="AF75" i="15"/>
  <c r="AF86" i="15" s="1"/>
  <c r="AE89" i="15" s="1"/>
  <c r="AF89" i="15" s="1"/>
  <c r="AE90" i="15" s="1"/>
  <c r="AF90" i="15" s="1"/>
  <c r="AB16" i="23"/>
  <c r="AF38" i="18"/>
  <c r="AF38" i="15"/>
  <c r="AE41" i="15" s="1"/>
  <c r="AF41" i="15" s="1"/>
  <c r="AE42" i="15" s="1"/>
  <c r="AF42" i="15" s="1"/>
  <c r="AF86" i="18"/>
  <c r="AF13" i="23"/>
  <c r="P13" i="23"/>
  <c r="AJ70" i="15"/>
  <c r="AI75" i="15" s="1"/>
  <c r="B19" i="16"/>
  <c r="D19" i="16" s="1"/>
  <c r="AN62" i="15"/>
  <c r="AN14" i="15"/>
  <c r="AN22" i="15" s="1"/>
  <c r="AN62" i="18"/>
  <c r="AN70" i="18" s="1"/>
  <c r="AN14" i="18"/>
  <c r="AN22" i="18" s="1"/>
  <c r="B65" i="19"/>
  <c r="D65" i="19" s="1"/>
  <c r="B20" i="16"/>
  <c r="D20" i="16" s="1"/>
  <c r="B67" i="16"/>
  <c r="D67" i="16" s="1"/>
  <c r="AE41" i="18" l="1"/>
  <c r="AF41" i="18" s="1"/>
  <c r="AE42" i="18" s="1"/>
  <c r="AF42" i="18" s="1"/>
  <c r="AM75" i="18"/>
  <c r="AN75" i="18" s="1"/>
  <c r="AJ38" i="15"/>
  <c r="AI41" i="15" s="1"/>
  <c r="AJ41" i="15" s="1"/>
  <c r="AE89" i="18"/>
  <c r="AF89" i="18" s="1"/>
  <c r="AE90" i="18" s="1"/>
  <c r="AF90" i="18" s="1"/>
  <c r="AF95" i="18" s="1"/>
  <c r="AF97" i="18" s="1"/>
  <c r="AF95" i="15"/>
  <c r="AF97" i="15" s="1"/>
  <c r="AF49" i="15"/>
  <c r="H15" i="23" s="1"/>
  <c r="T17" i="23"/>
  <c r="AM29" i="18"/>
  <c r="AN29" i="18" s="1"/>
  <c r="AM26" i="18"/>
  <c r="AN26" i="18" s="1"/>
  <c r="AM29" i="15"/>
  <c r="AN29" i="15" s="1"/>
  <c r="AM26" i="15"/>
  <c r="AN26" i="15" s="1"/>
  <c r="D17" i="23"/>
  <c r="L16" i="23"/>
  <c r="AJ75" i="15"/>
  <c r="AJ86" i="15" s="1"/>
  <c r="AI89" i="15" s="1"/>
  <c r="AJ89" i="15" s="1"/>
  <c r="AI90" i="15" s="1"/>
  <c r="AJ90" i="15" s="1"/>
  <c r="AB17" i="23"/>
  <c r="AJ86" i="18"/>
  <c r="AJ38" i="18"/>
  <c r="AF14" i="23"/>
  <c r="P14" i="23"/>
  <c r="B17" i="19"/>
  <c r="D17" i="19" s="1"/>
  <c r="B20" i="19"/>
  <c r="D20" i="19" s="1"/>
  <c r="B67" i="19"/>
  <c r="D67" i="19" s="1"/>
  <c r="B68" i="19"/>
  <c r="D68" i="19" s="1"/>
  <c r="B66" i="19"/>
  <c r="D66" i="19" s="1"/>
  <c r="B19" i="19"/>
  <c r="D19" i="19" s="1"/>
  <c r="AN70" i="15"/>
  <c r="AM75" i="15" s="1"/>
  <c r="B68" i="16"/>
  <c r="D68" i="16" s="1"/>
  <c r="B66" i="16"/>
  <c r="D66" i="16" s="1"/>
  <c r="F19" i="16"/>
  <c r="H19" i="16" s="1"/>
  <c r="B18" i="16"/>
  <c r="D18" i="16" s="1"/>
  <c r="B17" i="16"/>
  <c r="D17" i="16" s="1"/>
  <c r="B18" i="19"/>
  <c r="D18" i="19" s="1"/>
  <c r="B65" i="16"/>
  <c r="D65" i="16" s="1"/>
  <c r="F18" i="19"/>
  <c r="H18" i="19" s="1"/>
  <c r="F18" i="16"/>
  <c r="H18" i="16" s="1"/>
  <c r="F66" i="16"/>
  <c r="H66" i="16" s="1"/>
  <c r="F66" i="19"/>
  <c r="H66" i="19" s="1"/>
  <c r="F67" i="16"/>
  <c r="H67" i="16" s="1"/>
  <c r="AR62" i="15"/>
  <c r="AR14" i="15"/>
  <c r="AR22" i="15" s="1"/>
  <c r="AR14" i="18"/>
  <c r="AR22" i="18" s="1"/>
  <c r="AR62" i="18"/>
  <c r="AR70" i="18" s="1"/>
  <c r="AI42" i="15" l="1"/>
  <c r="AJ42" i="15" s="1"/>
  <c r="AJ49" i="15" s="1"/>
  <c r="H16" i="23" s="1"/>
  <c r="AF49" i="18"/>
  <c r="X15" i="23" s="1"/>
  <c r="AI41" i="18"/>
  <c r="AJ41" i="18" s="1"/>
  <c r="AI42" i="18" s="1"/>
  <c r="AJ42" i="18" s="1"/>
  <c r="AJ49" i="18" s="1"/>
  <c r="X16" i="23" s="1"/>
  <c r="AI89" i="18"/>
  <c r="AJ89" i="18" s="1"/>
  <c r="AI90" i="18" s="1"/>
  <c r="AJ90" i="18" s="1"/>
  <c r="AJ95" i="18" s="1"/>
  <c r="AJ97" i="18" s="1"/>
  <c r="AQ75" i="18"/>
  <c r="AR75" i="18" s="1"/>
  <c r="AJ95" i="15"/>
  <c r="AJ97" i="15" s="1"/>
  <c r="T18" i="23"/>
  <c r="AQ29" i="18"/>
  <c r="AR29" i="18" s="1"/>
  <c r="AQ26" i="18"/>
  <c r="AR26" i="18" s="1"/>
  <c r="AQ29" i="15"/>
  <c r="AR29" i="15" s="1"/>
  <c r="AQ26" i="15"/>
  <c r="AR26" i="15" s="1"/>
  <c r="L17" i="23"/>
  <c r="AN75" i="15"/>
  <c r="AN86" i="15" s="1"/>
  <c r="AM89" i="15" s="1"/>
  <c r="AN89" i="15" s="1"/>
  <c r="AM90" i="15" s="1"/>
  <c r="AN90" i="15" s="1"/>
  <c r="D18" i="23"/>
  <c r="AB18" i="23"/>
  <c r="AN38" i="18"/>
  <c r="AN86" i="18"/>
  <c r="AN38" i="15"/>
  <c r="AM41" i="15" s="1"/>
  <c r="AN41" i="15" s="1"/>
  <c r="AM42" i="15" s="1"/>
  <c r="AN42" i="15" s="1"/>
  <c r="F67" i="19"/>
  <c r="H67" i="19" s="1"/>
  <c r="F19" i="19"/>
  <c r="H19" i="19" s="1"/>
  <c r="AF15" i="23"/>
  <c r="P15" i="23"/>
  <c r="F17" i="16"/>
  <c r="H17" i="16" s="1"/>
  <c r="F65" i="16"/>
  <c r="H65" i="16" s="1"/>
  <c r="F17" i="19"/>
  <c r="H17" i="19" s="1"/>
  <c r="F65" i="19"/>
  <c r="H65" i="19" s="1"/>
  <c r="J17" i="19"/>
  <c r="L17" i="19" s="1"/>
  <c r="J65" i="19"/>
  <c r="L65" i="19" s="1"/>
  <c r="J65" i="16"/>
  <c r="L65" i="16" s="1"/>
  <c r="J17" i="16"/>
  <c r="L17" i="16" s="1"/>
  <c r="AR70" i="15"/>
  <c r="AQ75" i="15" s="1"/>
  <c r="J67" i="19"/>
  <c r="L67" i="19" s="1"/>
  <c r="J67" i="16"/>
  <c r="L67" i="16" s="1"/>
  <c r="J19" i="16"/>
  <c r="L19" i="16" s="1"/>
  <c r="J19" i="19"/>
  <c r="L19" i="19" s="1"/>
  <c r="J18" i="16"/>
  <c r="L18" i="16" s="1"/>
  <c r="J18" i="19"/>
  <c r="L18" i="19" s="1"/>
  <c r="J66" i="16"/>
  <c r="L66" i="16" s="1"/>
  <c r="J66" i="19"/>
  <c r="L66" i="19" s="1"/>
  <c r="AV62" i="15"/>
  <c r="AV14" i="18"/>
  <c r="AV22" i="18" s="1"/>
  <c r="AV62" i="18"/>
  <c r="AV70" i="18" s="1"/>
  <c r="AV14" i="15"/>
  <c r="AV22" i="15" s="1"/>
  <c r="AM89" i="18" l="1"/>
  <c r="AN89" i="18" s="1"/>
  <c r="AM90" i="18" s="1"/>
  <c r="AN90" i="18" s="1"/>
  <c r="AN95" i="18" s="1"/>
  <c r="AN97" i="18" s="1"/>
  <c r="AM41" i="18"/>
  <c r="AN41" i="18" s="1"/>
  <c r="AM42" i="18" s="1"/>
  <c r="AN42" i="18" s="1"/>
  <c r="AN49" i="18" s="1"/>
  <c r="X17" i="23" s="1"/>
  <c r="AU75" i="18"/>
  <c r="AV75" i="18" s="1"/>
  <c r="AN95" i="15"/>
  <c r="AN97" i="15" s="1"/>
  <c r="AN49" i="15"/>
  <c r="H17" i="23" s="1"/>
  <c r="AU29" i="15"/>
  <c r="AV29" i="15" s="1"/>
  <c r="AU26" i="15"/>
  <c r="AV26" i="15" s="1"/>
  <c r="T19" i="23"/>
  <c r="AU26" i="18"/>
  <c r="AV26" i="18" s="1"/>
  <c r="AU29" i="18"/>
  <c r="AV29" i="18" s="1"/>
  <c r="L18" i="23"/>
  <c r="AR75" i="15"/>
  <c r="AR86" i="15" s="1"/>
  <c r="AQ89" i="15" s="1"/>
  <c r="AR89" i="15" s="1"/>
  <c r="AQ90" i="15" s="1"/>
  <c r="AR90" i="15" s="1"/>
  <c r="D19" i="23"/>
  <c r="AB19" i="23"/>
  <c r="AR38" i="15"/>
  <c r="AQ41" i="15" s="1"/>
  <c r="AR41" i="15" s="1"/>
  <c r="AQ42" i="15" s="1"/>
  <c r="AR42" i="15" s="1"/>
  <c r="AR38" i="18"/>
  <c r="AR86" i="18"/>
  <c r="AF16" i="23"/>
  <c r="P16" i="23"/>
  <c r="AV70" i="15"/>
  <c r="AU75" i="15" s="1"/>
  <c r="N17" i="19"/>
  <c r="P17" i="19" s="1"/>
  <c r="N17" i="16"/>
  <c r="P17" i="16" s="1"/>
  <c r="N65" i="16"/>
  <c r="P65" i="16" s="1"/>
  <c r="N65" i="19"/>
  <c r="P65" i="19" s="1"/>
  <c r="N66" i="16"/>
  <c r="P66" i="16" s="1"/>
  <c r="N66" i="19"/>
  <c r="P66" i="19" s="1"/>
  <c r="N18" i="16"/>
  <c r="P18" i="16" s="1"/>
  <c r="N18" i="19"/>
  <c r="P18" i="19" s="1"/>
  <c r="N19" i="19"/>
  <c r="P19" i="19" s="1"/>
  <c r="N19" i="16"/>
  <c r="P19" i="16" s="1"/>
  <c r="N67" i="16"/>
  <c r="P67" i="16" s="1"/>
  <c r="N67" i="19"/>
  <c r="P67" i="19" s="1"/>
  <c r="AQ89" i="18" l="1"/>
  <c r="AR89" i="18" s="1"/>
  <c r="AQ90" i="18" s="1"/>
  <c r="AR90" i="18" s="1"/>
  <c r="AR95" i="18" s="1"/>
  <c r="AR97" i="18" s="1"/>
  <c r="AQ41" i="18"/>
  <c r="AR41" i="18" s="1"/>
  <c r="AQ42" i="18" s="1"/>
  <c r="AR42" i="18" s="1"/>
  <c r="AR49" i="18" s="1"/>
  <c r="X18" i="23" s="1"/>
  <c r="AR95" i="15"/>
  <c r="AR97" i="15" s="1"/>
  <c r="AR49" i="15"/>
  <c r="H18" i="23" s="1"/>
  <c r="L19" i="23"/>
  <c r="AV75" i="15"/>
  <c r="AV86" i="15" s="1"/>
  <c r="AU89" i="15" s="1"/>
  <c r="AV89" i="15" s="1"/>
  <c r="AU90" i="15" s="1"/>
  <c r="AV90" i="15" s="1"/>
  <c r="AV38" i="15"/>
  <c r="AV38" i="18"/>
  <c r="AV86" i="18"/>
  <c r="AF17" i="23"/>
  <c r="P17" i="23"/>
  <c r="R17" i="19"/>
  <c r="T17" i="19" s="1"/>
  <c r="R65" i="19"/>
  <c r="T65" i="19" s="1"/>
  <c r="R17" i="16"/>
  <c r="T17" i="16" s="1"/>
  <c r="R65" i="16"/>
  <c r="T65" i="16" s="1"/>
  <c r="R19" i="16"/>
  <c r="T19" i="16" s="1"/>
  <c r="R67" i="16"/>
  <c r="T67" i="16" s="1"/>
  <c r="R19" i="19"/>
  <c r="T19" i="19" s="1"/>
  <c r="R67" i="19"/>
  <c r="T67" i="19" s="1"/>
  <c r="R18" i="16"/>
  <c r="T18" i="16" s="1"/>
  <c r="R66" i="16"/>
  <c r="T66" i="16" s="1"/>
  <c r="R66" i="19"/>
  <c r="T66" i="19" s="1"/>
  <c r="R18" i="19"/>
  <c r="T18" i="19" s="1"/>
  <c r="D62" i="16"/>
  <c r="AU41" i="18" l="1"/>
  <c r="AV41" i="18" s="1"/>
  <c r="AU42" i="18" s="1"/>
  <c r="AV42" i="18" s="1"/>
  <c r="AV49" i="18" s="1"/>
  <c r="X19" i="23" s="1"/>
  <c r="AU89" i="18"/>
  <c r="AV89" i="18" s="1"/>
  <c r="AU90" i="18" s="1"/>
  <c r="AV90" i="18" s="1"/>
  <c r="AU41" i="15"/>
  <c r="AV41" i="15" s="1"/>
  <c r="AU42" i="15" s="1"/>
  <c r="AV42" i="15" s="1"/>
  <c r="AV49" i="15" s="1"/>
  <c r="H19" i="23" s="1"/>
  <c r="AV95" i="15"/>
  <c r="AV97" i="15" s="1"/>
  <c r="AF18" i="23"/>
  <c r="P18" i="23"/>
  <c r="D62" i="19"/>
  <c r="D70" i="19" s="1"/>
  <c r="D14" i="19"/>
  <c r="D22" i="19" s="1"/>
  <c r="D70" i="16"/>
  <c r="D14" i="16"/>
  <c r="D22" i="16" s="1"/>
  <c r="H62" i="19"/>
  <c r="H70" i="19" s="1"/>
  <c r="V17" i="16"/>
  <c r="X17" i="16" s="1"/>
  <c r="V65" i="16"/>
  <c r="X65" i="16" s="1"/>
  <c r="V17" i="19"/>
  <c r="X17" i="19" s="1"/>
  <c r="V65" i="19"/>
  <c r="X65" i="19" s="1"/>
  <c r="V18" i="19"/>
  <c r="X18" i="19" s="1"/>
  <c r="V66" i="16"/>
  <c r="X66" i="16" s="1"/>
  <c r="V66" i="19"/>
  <c r="X66" i="19" s="1"/>
  <c r="V18" i="16"/>
  <c r="X18" i="16" s="1"/>
  <c r="V67" i="16"/>
  <c r="X67" i="16" s="1"/>
  <c r="V19" i="16"/>
  <c r="X19" i="16" s="1"/>
  <c r="V67" i="19"/>
  <c r="X67" i="19" s="1"/>
  <c r="V19" i="19"/>
  <c r="X19" i="19" s="1"/>
  <c r="H14" i="19"/>
  <c r="H22" i="19" s="1"/>
  <c r="AV95" i="18" l="1"/>
  <c r="AV97" i="18" s="1"/>
  <c r="AF19" i="23" s="1"/>
  <c r="C75" i="16"/>
  <c r="D75" i="16" s="1"/>
  <c r="D86" i="16" s="1"/>
  <c r="C75" i="19"/>
  <c r="D75" i="19" s="1"/>
  <c r="U8" i="23"/>
  <c r="C29" i="19"/>
  <c r="D29" i="19" s="1"/>
  <c r="C26" i="19"/>
  <c r="D26" i="19" s="1"/>
  <c r="U9" i="23"/>
  <c r="G29" i="19"/>
  <c r="H29" i="19" s="1"/>
  <c r="G26" i="19"/>
  <c r="H26" i="19" s="1"/>
  <c r="C26" i="16"/>
  <c r="D26" i="16" s="1"/>
  <c r="C29" i="16"/>
  <c r="D29" i="16" s="1"/>
  <c r="AC9" i="23"/>
  <c r="G75" i="19"/>
  <c r="H75" i="19" s="1"/>
  <c r="AC8" i="23"/>
  <c r="M8" i="23"/>
  <c r="E8" i="23"/>
  <c r="L14" i="19"/>
  <c r="L22" i="19" s="1"/>
  <c r="H62" i="16"/>
  <c r="H70" i="16" s="1"/>
  <c r="P19" i="23"/>
  <c r="H14" i="16"/>
  <c r="H22" i="16" s="1"/>
  <c r="Z17" i="19"/>
  <c r="AB17" i="19" s="1"/>
  <c r="Z65" i="19"/>
  <c r="AB65" i="19" s="1"/>
  <c r="Z17" i="16"/>
  <c r="AB17" i="16" s="1"/>
  <c r="Z65" i="16"/>
  <c r="AB65" i="16" s="1"/>
  <c r="L62" i="19"/>
  <c r="L70" i="19" s="1"/>
  <c r="Z67" i="19"/>
  <c r="AB67" i="19" s="1"/>
  <c r="Z19" i="19"/>
  <c r="AB19" i="19" s="1"/>
  <c r="Z19" i="16"/>
  <c r="AB19" i="16" s="1"/>
  <c r="Z67" i="16"/>
  <c r="AB67" i="16" s="1"/>
  <c r="Z66" i="19"/>
  <c r="AB66" i="19" s="1"/>
  <c r="Z66" i="16"/>
  <c r="AB66" i="16" s="1"/>
  <c r="Z18" i="19"/>
  <c r="AB18" i="19" s="1"/>
  <c r="Z18" i="16"/>
  <c r="AB18" i="16" s="1"/>
  <c r="C89" i="16" l="1"/>
  <c r="D89" i="16" s="1"/>
  <c r="C90" i="16" s="1"/>
  <c r="D90" i="16" s="1"/>
  <c r="D95" i="16" s="1"/>
  <c r="D97" i="16" s="1"/>
  <c r="G75" i="16"/>
  <c r="H75" i="16" s="1"/>
  <c r="H86" i="16" s="1"/>
  <c r="U10" i="23"/>
  <c r="K26" i="19"/>
  <c r="L26" i="19" s="1"/>
  <c r="K29" i="19"/>
  <c r="L29" i="19" s="1"/>
  <c r="D38" i="16"/>
  <c r="G26" i="16"/>
  <c r="H26" i="16" s="1"/>
  <c r="G29" i="16"/>
  <c r="H29" i="16" s="1"/>
  <c r="AC10" i="23"/>
  <c r="K75" i="19"/>
  <c r="L75" i="19" s="1"/>
  <c r="L86" i="19" s="1"/>
  <c r="K89" i="19" s="1"/>
  <c r="L89" i="19" s="1"/>
  <c r="M9" i="23"/>
  <c r="H86" i="19"/>
  <c r="D38" i="19"/>
  <c r="D86" i="19"/>
  <c r="H38" i="19"/>
  <c r="E9" i="23"/>
  <c r="L14" i="16"/>
  <c r="L22" i="16" s="1"/>
  <c r="L62" i="16"/>
  <c r="L70" i="16" s="1"/>
  <c r="AD17" i="19"/>
  <c r="AF17" i="19" s="1"/>
  <c r="AD65" i="16"/>
  <c r="AF65" i="16" s="1"/>
  <c r="AD65" i="19"/>
  <c r="AF65" i="19" s="1"/>
  <c r="AD17" i="16"/>
  <c r="AF17" i="16" s="1"/>
  <c r="AD18" i="16"/>
  <c r="AF18" i="16" s="1"/>
  <c r="AD18" i="19"/>
  <c r="AF18" i="19" s="1"/>
  <c r="AD66" i="16"/>
  <c r="AF66" i="16" s="1"/>
  <c r="AD66" i="19"/>
  <c r="AF66" i="19" s="1"/>
  <c r="AD67" i="16"/>
  <c r="AF67" i="16" s="1"/>
  <c r="AD19" i="16"/>
  <c r="AF19" i="16" s="1"/>
  <c r="AD19" i="19"/>
  <c r="AF19" i="19" s="1"/>
  <c r="AD67" i="19"/>
  <c r="AF67" i="19" s="1"/>
  <c r="P14" i="19"/>
  <c r="P22" i="19" s="1"/>
  <c r="P62" i="16"/>
  <c r="P70" i="16" s="1"/>
  <c r="P62" i="19"/>
  <c r="P70" i="19" s="1"/>
  <c r="P14" i="16"/>
  <c r="P22" i="16" s="1"/>
  <c r="G89" i="16" l="1"/>
  <c r="H89" i="16" s="1"/>
  <c r="G90" i="16" s="1"/>
  <c r="H90" i="16" s="1"/>
  <c r="H95" i="16" s="1"/>
  <c r="H97" i="16" s="1"/>
  <c r="C41" i="19"/>
  <c r="D41" i="19" s="1"/>
  <c r="C42" i="19" s="1"/>
  <c r="D42" i="19" s="1"/>
  <c r="D49" i="19" s="1"/>
  <c r="Y8" i="23" s="1"/>
  <c r="G41" i="19"/>
  <c r="H41" i="19" s="1"/>
  <c r="G42" i="19" s="1"/>
  <c r="H42" i="19" s="1"/>
  <c r="H49" i="19" s="1"/>
  <c r="Y9" i="23" s="1"/>
  <c r="K75" i="16"/>
  <c r="L75" i="16" s="1"/>
  <c r="L86" i="16" s="1"/>
  <c r="K89" i="16" s="1"/>
  <c r="L89" i="16" s="1"/>
  <c r="C41" i="16"/>
  <c r="D41" i="16" s="1"/>
  <c r="O75" i="16"/>
  <c r="P75" i="16" s="1"/>
  <c r="P86" i="16" s="1"/>
  <c r="O89" i="16" s="1"/>
  <c r="P89" i="16" s="1"/>
  <c r="O90" i="16" s="1"/>
  <c r="P90" i="16" s="1"/>
  <c r="P95" i="16" s="1"/>
  <c r="P97" i="16" s="1"/>
  <c r="K90" i="19"/>
  <c r="L90" i="19" s="1"/>
  <c r="L95" i="19" s="1"/>
  <c r="L97" i="19" s="1"/>
  <c r="G89" i="19"/>
  <c r="H89" i="19" s="1"/>
  <c r="G90" i="19" s="1"/>
  <c r="H90" i="19" s="1"/>
  <c r="C89" i="19"/>
  <c r="D89" i="19" s="1"/>
  <c r="C90" i="19" s="1"/>
  <c r="D90" i="19" s="1"/>
  <c r="D95" i="19" s="1"/>
  <c r="D97" i="19" s="1"/>
  <c r="AG8" i="23" s="1"/>
  <c r="K26" i="16"/>
  <c r="L26" i="16" s="1"/>
  <c r="K29" i="16"/>
  <c r="L29" i="16" s="1"/>
  <c r="H38" i="16"/>
  <c r="U11" i="23"/>
  <c r="O29" i="19"/>
  <c r="P29" i="19" s="1"/>
  <c r="O26" i="19"/>
  <c r="P26" i="19" s="1"/>
  <c r="O26" i="16"/>
  <c r="P26" i="16" s="1"/>
  <c r="O29" i="16"/>
  <c r="P29" i="16" s="1"/>
  <c r="AC11" i="23"/>
  <c r="O75" i="19"/>
  <c r="P75" i="19" s="1"/>
  <c r="M11" i="23"/>
  <c r="M10" i="23"/>
  <c r="L38" i="19"/>
  <c r="E11" i="23"/>
  <c r="E10" i="23"/>
  <c r="Q8" i="23"/>
  <c r="AH17" i="19"/>
  <c r="AJ17" i="19" s="1"/>
  <c r="AH65" i="16"/>
  <c r="AJ65" i="16" s="1"/>
  <c r="AH65" i="19"/>
  <c r="AJ65" i="19" s="1"/>
  <c r="AH17" i="16"/>
  <c r="AJ17" i="16" s="1"/>
  <c r="T62" i="16"/>
  <c r="T70" i="16" s="1"/>
  <c r="T62" i="19"/>
  <c r="T70" i="19" s="1"/>
  <c r="T14" i="16"/>
  <c r="T22" i="16" s="1"/>
  <c r="T14" i="19"/>
  <c r="T22" i="19" s="1"/>
  <c r="AH67" i="19"/>
  <c r="AJ67" i="19" s="1"/>
  <c r="AH67" i="16"/>
  <c r="AJ67" i="16" s="1"/>
  <c r="AH19" i="19"/>
  <c r="AJ19" i="19" s="1"/>
  <c r="AH19" i="16"/>
  <c r="AJ19" i="16" s="1"/>
  <c r="AH66" i="19"/>
  <c r="AJ66" i="19" s="1"/>
  <c r="AH66" i="16"/>
  <c r="AJ66" i="16" s="1"/>
  <c r="AH18" i="19"/>
  <c r="AJ18" i="19" s="1"/>
  <c r="AH18" i="16"/>
  <c r="AJ18" i="16" s="1"/>
  <c r="G41" i="16" l="1"/>
  <c r="H41" i="16" s="1"/>
  <c r="G42" i="16" s="1"/>
  <c r="H42" i="16" s="1"/>
  <c r="H49" i="16" s="1"/>
  <c r="I9" i="23" s="1"/>
  <c r="K41" i="19"/>
  <c r="L41" i="19" s="1"/>
  <c r="K42" i="19"/>
  <c r="L42" i="19" s="1"/>
  <c r="L49" i="19" s="1"/>
  <c r="Y10" i="23" s="1"/>
  <c r="C42" i="16"/>
  <c r="D42" i="16" s="1"/>
  <c r="D49" i="16" s="1"/>
  <c r="I8" i="23" s="1"/>
  <c r="S75" i="16"/>
  <c r="T75" i="16" s="1"/>
  <c r="T86" i="16" s="1"/>
  <c r="S89" i="16" s="1"/>
  <c r="T89" i="16" s="1"/>
  <c r="K90" i="16"/>
  <c r="L90" i="16" s="1"/>
  <c r="L95" i="16" s="1"/>
  <c r="L97" i="16" s="1"/>
  <c r="H95" i="19"/>
  <c r="H97" i="19" s="1"/>
  <c r="AG9" i="23" s="1"/>
  <c r="P38" i="16"/>
  <c r="U12" i="23"/>
  <c r="S29" i="19"/>
  <c r="T29" i="19" s="1"/>
  <c r="S26" i="19"/>
  <c r="T26" i="19" s="1"/>
  <c r="S29" i="16"/>
  <c r="T29" i="16" s="1"/>
  <c r="S26" i="16"/>
  <c r="T26" i="16" s="1"/>
  <c r="L38" i="16"/>
  <c r="AC12" i="23"/>
  <c r="S75" i="19"/>
  <c r="T75" i="19" s="1"/>
  <c r="M12" i="23"/>
  <c r="P86" i="19"/>
  <c r="P38" i="19"/>
  <c r="E12" i="23"/>
  <c r="Q9" i="23"/>
  <c r="AL17" i="19"/>
  <c r="AN17" i="19" s="1"/>
  <c r="AL17" i="16"/>
  <c r="AN17" i="16" s="1"/>
  <c r="AL65" i="19"/>
  <c r="AN65" i="19" s="1"/>
  <c r="AL65" i="16"/>
  <c r="AN65" i="16" s="1"/>
  <c r="AL18" i="19"/>
  <c r="AN18" i="19" s="1"/>
  <c r="AL18" i="16"/>
  <c r="AN18" i="16" s="1"/>
  <c r="AL66" i="19"/>
  <c r="AN66" i="19" s="1"/>
  <c r="AL66" i="16"/>
  <c r="AN66" i="16" s="1"/>
  <c r="AL67" i="19"/>
  <c r="AN67" i="19" s="1"/>
  <c r="AL67" i="16"/>
  <c r="AN67" i="16" s="1"/>
  <c r="AL19" i="16"/>
  <c r="AN19" i="16" s="1"/>
  <c r="AL19" i="19"/>
  <c r="AN19" i="19" s="1"/>
  <c r="X14" i="16"/>
  <c r="X22" i="16" s="1"/>
  <c r="X14" i="19"/>
  <c r="X22" i="19" s="1"/>
  <c r="X62" i="16"/>
  <c r="X70" i="16" s="1"/>
  <c r="X62" i="19"/>
  <c r="X70" i="19" s="1"/>
  <c r="O41" i="16" l="1"/>
  <c r="P41" i="16" s="1"/>
  <c r="O42" i="16" s="1"/>
  <c r="P42" i="16" s="1"/>
  <c r="P49" i="16" s="1"/>
  <c r="I11" i="23" s="1"/>
  <c r="O41" i="19"/>
  <c r="P41" i="19" s="1"/>
  <c r="O42" i="19" s="1"/>
  <c r="P42" i="19" s="1"/>
  <c r="P49" i="19" s="1"/>
  <c r="Y11" i="23" s="1"/>
  <c r="S90" i="16"/>
  <c r="T90" i="16" s="1"/>
  <c r="T95" i="16" s="1"/>
  <c r="T97" i="16" s="1"/>
  <c r="W75" i="16"/>
  <c r="X75" i="16" s="1"/>
  <c r="X86" i="16" s="1"/>
  <c r="K41" i="16"/>
  <c r="L41" i="16" s="1"/>
  <c r="K42" i="16" s="1"/>
  <c r="L42" i="16" s="1"/>
  <c r="L49" i="16" s="1"/>
  <c r="I10" i="23" s="1"/>
  <c r="O89" i="19"/>
  <c r="P89" i="19" s="1"/>
  <c r="O90" i="19" s="1"/>
  <c r="P90" i="19" s="1"/>
  <c r="P95" i="19" s="1"/>
  <c r="P97" i="19" s="1"/>
  <c r="T38" i="16"/>
  <c r="U13" i="23"/>
  <c r="W29" i="19"/>
  <c r="X29" i="19" s="1"/>
  <c r="W26" i="19"/>
  <c r="X26" i="19" s="1"/>
  <c r="W29" i="16"/>
  <c r="X29" i="16" s="1"/>
  <c r="W26" i="16"/>
  <c r="X26" i="16" s="1"/>
  <c r="AC13" i="23"/>
  <c r="W75" i="19"/>
  <c r="X75" i="19" s="1"/>
  <c r="M13" i="23"/>
  <c r="T86" i="19"/>
  <c r="T38" i="19"/>
  <c r="E13" i="23"/>
  <c r="AG10" i="23"/>
  <c r="Q10" i="23"/>
  <c r="AP17" i="19"/>
  <c r="AR17" i="19" s="1"/>
  <c r="AP65" i="16"/>
  <c r="AR65" i="16" s="1"/>
  <c r="AP17" i="16"/>
  <c r="AR17" i="16" s="1"/>
  <c r="AP65" i="19"/>
  <c r="AR65" i="19" s="1"/>
  <c r="AB14" i="16"/>
  <c r="AB22" i="16" s="1"/>
  <c r="AB62" i="19"/>
  <c r="AB70" i="19" s="1"/>
  <c r="AB14" i="19"/>
  <c r="AB22" i="19" s="1"/>
  <c r="AB62" i="16"/>
  <c r="AB70" i="16" s="1"/>
  <c r="AP19" i="19"/>
  <c r="AR19" i="19" s="1"/>
  <c r="AP67" i="19"/>
  <c r="AR67" i="19" s="1"/>
  <c r="AP19" i="16"/>
  <c r="AR19" i="16" s="1"/>
  <c r="AP67" i="16"/>
  <c r="AR67" i="16" s="1"/>
  <c r="AP66" i="16"/>
  <c r="AR66" i="16" s="1"/>
  <c r="AP66" i="19"/>
  <c r="AR66" i="19" s="1"/>
  <c r="AP18" i="16"/>
  <c r="AR18" i="16" s="1"/>
  <c r="AP18" i="19"/>
  <c r="AR18" i="19" s="1"/>
  <c r="W89" i="16" l="1"/>
  <c r="X89" i="16" s="1"/>
  <c r="W90" i="16" s="1"/>
  <c r="X90" i="16" s="1"/>
  <c r="X95" i="16" s="1"/>
  <c r="X97" i="16" s="1"/>
  <c r="AA75" i="16"/>
  <c r="AB75" i="16" s="1"/>
  <c r="AB86" i="16" s="1"/>
  <c r="S41" i="19"/>
  <c r="T41" i="19" s="1"/>
  <c r="S42" i="19" s="1"/>
  <c r="T42" i="19" s="1"/>
  <c r="T49" i="19" s="1"/>
  <c r="Y12" i="23" s="1"/>
  <c r="S41" i="16"/>
  <c r="T41" i="16" s="1"/>
  <c r="S42" i="16" s="1"/>
  <c r="T42" i="16" s="1"/>
  <c r="T49" i="16" s="1"/>
  <c r="I12" i="23" s="1"/>
  <c r="S89" i="19"/>
  <c r="T89" i="19" s="1"/>
  <c r="S90" i="19" s="1"/>
  <c r="T90" i="19" s="1"/>
  <c r="T95" i="19" s="1"/>
  <c r="T97" i="19" s="1"/>
  <c r="X38" i="16"/>
  <c r="U14" i="23"/>
  <c r="AA29" i="19"/>
  <c r="AB29" i="19" s="1"/>
  <c r="AA26" i="19"/>
  <c r="AB26" i="19" s="1"/>
  <c r="AA29" i="16"/>
  <c r="AB29" i="16" s="1"/>
  <c r="AA26" i="16"/>
  <c r="AB26" i="16" s="1"/>
  <c r="AC14" i="23"/>
  <c r="AA75" i="19"/>
  <c r="AB75" i="19" s="1"/>
  <c r="M14" i="23"/>
  <c r="X38" i="19"/>
  <c r="X86" i="19"/>
  <c r="E14" i="23"/>
  <c r="AG11" i="23"/>
  <c r="Q11" i="23"/>
  <c r="AT17" i="19"/>
  <c r="AV17" i="19" s="1"/>
  <c r="AT17" i="16"/>
  <c r="AV17" i="16" s="1"/>
  <c r="AT65" i="16"/>
  <c r="AV65" i="16" s="1"/>
  <c r="AT65" i="19"/>
  <c r="AV65" i="19" s="1"/>
  <c r="AT66" i="16"/>
  <c r="AV66" i="16" s="1"/>
  <c r="AT18" i="19"/>
  <c r="AV18" i="19" s="1"/>
  <c r="AT66" i="19"/>
  <c r="AV66" i="19" s="1"/>
  <c r="AT18" i="16"/>
  <c r="AV18" i="16" s="1"/>
  <c r="AT19" i="16"/>
  <c r="AV19" i="16" s="1"/>
  <c r="AT19" i="19"/>
  <c r="AV19" i="19" s="1"/>
  <c r="AT67" i="19"/>
  <c r="AV67" i="19" s="1"/>
  <c r="AT67" i="16"/>
  <c r="AV67" i="16" s="1"/>
  <c r="AF14" i="19"/>
  <c r="AF22" i="19" s="1"/>
  <c r="AF62" i="19"/>
  <c r="AF70" i="19" s="1"/>
  <c r="AF62" i="16"/>
  <c r="AF70" i="16" s="1"/>
  <c r="AF14" i="16"/>
  <c r="AF22" i="16" s="1"/>
  <c r="AA89" i="16" l="1"/>
  <c r="AB89" i="16" s="1"/>
  <c r="AA90" i="16" s="1"/>
  <c r="AB90" i="16" s="1"/>
  <c r="AB95" i="16" s="1"/>
  <c r="AB97" i="16" s="1"/>
  <c r="W41" i="16"/>
  <c r="X41" i="16" s="1"/>
  <c r="W42" i="16" s="1"/>
  <c r="X42" i="16" s="1"/>
  <c r="X49" i="16" s="1"/>
  <c r="I13" i="23" s="1"/>
  <c r="AE75" i="16"/>
  <c r="AF75" i="16" s="1"/>
  <c r="AF86" i="16" s="1"/>
  <c r="W41" i="19"/>
  <c r="X41" i="19" s="1"/>
  <c r="W42" i="19" s="1"/>
  <c r="X42" i="19" s="1"/>
  <c r="X49" i="19" s="1"/>
  <c r="Y13" i="23" s="1"/>
  <c r="W89" i="19"/>
  <c r="X89" i="19" s="1"/>
  <c r="AB38" i="16"/>
  <c r="AE29" i="16"/>
  <c r="AF29" i="16" s="1"/>
  <c r="AE26" i="16"/>
  <c r="AF26" i="16" s="1"/>
  <c r="U15" i="23"/>
  <c r="AE26" i="19"/>
  <c r="AF26" i="19" s="1"/>
  <c r="AE29" i="19"/>
  <c r="AF29" i="19" s="1"/>
  <c r="AC15" i="23"/>
  <c r="AE75" i="19"/>
  <c r="AF75" i="19" s="1"/>
  <c r="M15" i="23"/>
  <c r="AB38" i="19"/>
  <c r="AB86" i="19"/>
  <c r="E15" i="23"/>
  <c r="AG12" i="23"/>
  <c r="Q12" i="23"/>
  <c r="AJ14" i="19"/>
  <c r="AJ22" i="19" s="1"/>
  <c r="AJ14" i="16"/>
  <c r="AJ22" i="16" s="1"/>
  <c r="AJ62" i="16"/>
  <c r="AJ70" i="16" s="1"/>
  <c r="AJ62" i="19"/>
  <c r="AJ70" i="19" s="1"/>
  <c r="AE89" i="16" l="1"/>
  <c r="AF89" i="16" s="1"/>
  <c r="AE90" i="16" s="1"/>
  <c r="AF90" i="16" s="1"/>
  <c r="AF95" i="16" s="1"/>
  <c r="AF97" i="16" s="1"/>
  <c r="AA41" i="16"/>
  <c r="AB41" i="16" s="1"/>
  <c r="AA42" i="16" s="1"/>
  <c r="AB42" i="16" s="1"/>
  <c r="AB49" i="16" s="1"/>
  <c r="I14" i="23" s="1"/>
  <c r="AI75" i="16"/>
  <c r="AJ75" i="16" s="1"/>
  <c r="AJ86" i="16" s="1"/>
  <c r="AA41" i="19"/>
  <c r="AB41" i="19" s="1"/>
  <c r="AA42" i="19" s="1"/>
  <c r="AB42" i="19" s="1"/>
  <c r="AB49" i="19" s="1"/>
  <c r="Y14" i="23" s="1"/>
  <c r="AA89" i="19"/>
  <c r="AB89" i="19" s="1"/>
  <c r="AA90" i="19" s="1"/>
  <c r="AB90" i="19" s="1"/>
  <c r="W90" i="19"/>
  <c r="X90" i="19" s="1"/>
  <c r="X95" i="19" s="1"/>
  <c r="X97" i="19" s="1"/>
  <c r="AG13" i="23" s="1"/>
  <c r="AF38" i="16"/>
  <c r="AI29" i="16"/>
  <c r="AJ29" i="16" s="1"/>
  <c r="AI26" i="16"/>
  <c r="AJ26" i="16" s="1"/>
  <c r="U16" i="23"/>
  <c r="AI26" i="19"/>
  <c r="AJ26" i="19" s="1"/>
  <c r="AI29" i="19"/>
  <c r="AJ29" i="19" s="1"/>
  <c r="AC16" i="23"/>
  <c r="AI75" i="19"/>
  <c r="AJ75" i="19" s="1"/>
  <c r="AJ86" i="19" s="1"/>
  <c r="AI89" i="19" s="1"/>
  <c r="AJ89" i="19" s="1"/>
  <c r="M16" i="23"/>
  <c r="AF86" i="19"/>
  <c r="AF38" i="19"/>
  <c r="AE41" i="19" s="1"/>
  <c r="AF41" i="19" s="1"/>
  <c r="AE42" i="19" s="1"/>
  <c r="AF42" i="19" s="1"/>
  <c r="AF49" i="19" s="1"/>
  <c r="E16" i="23"/>
  <c r="Q13" i="23"/>
  <c r="AN14" i="19"/>
  <c r="AN22" i="19" s="1"/>
  <c r="AN14" i="16"/>
  <c r="AN22" i="16" s="1"/>
  <c r="AN62" i="19"/>
  <c r="AN70" i="19" s="1"/>
  <c r="AN62" i="16"/>
  <c r="AN70" i="16" s="1"/>
  <c r="AI89" i="16" l="1"/>
  <c r="AJ89" i="16" s="1"/>
  <c r="AI90" i="16" s="1"/>
  <c r="AJ90" i="16" s="1"/>
  <c r="AJ95" i="16" s="1"/>
  <c r="AJ97" i="16" s="1"/>
  <c r="AM75" i="16"/>
  <c r="AN75" i="16" s="1"/>
  <c r="AN86" i="16" s="1"/>
  <c r="AE41" i="16"/>
  <c r="AF41" i="16" s="1"/>
  <c r="AE42" i="16" s="1"/>
  <c r="AF42" i="16" s="1"/>
  <c r="AF49" i="16" s="1"/>
  <c r="I15" i="23" s="1"/>
  <c r="AI90" i="19"/>
  <c r="AJ90" i="19" s="1"/>
  <c r="AJ95" i="19" s="1"/>
  <c r="AJ97" i="19" s="1"/>
  <c r="AE89" i="19"/>
  <c r="AF89" i="19" s="1"/>
  <c r="AE90" i="19" s="1"/>
  <c r="AF90" i="19" s="1"/>
  <c r="AF95" i="19" s="1"/>
  <c r="AF97" i="19" s="1"/>
  <c r="AB95" i="19"/>
  <c r="AB97" i="19" s="1"/>
  <c r="AG14" i="23" s="1"/>
  <c r="AJ38" i="16"/>
  <c r="AM26" i="16"/>
  <c r="AN26" i="16" s="1"/>
  <c r="AM29" i="16"/>
  <c r="AN29" i="16" s="1"/>
  <c r="U17" i="23"/>
  <c r="AM29" i="19"/>
  <c r="AN29" i="19" s="1"/>
  <c r="AM26" i="19"/>
  <c r="AN26" i="19" s="1"/>
  <c r="AC17" i="23"/>
  <c r="AM75" i="19"/>
  <c r="AN75" i="19" s="1"/>
  <c r="M17" i="23"/>
  <c r="AJ38" i="19"/>
  <c r="E17" i="23"/>
  <c r="Y15" i="23"/>
  <c r="Q14" i="23"/>
  <c r="AR14" i="16"/>
  <c r="AR22" i="16" s="1"/>
  <c r="AR62" i="19"/>
  <c r="AR70" i="19" s="1"/>
  <c r="AR62" i="16"/>
  <c r="AR70" i="16" s="1"/>
  <c r="AR14" i="19"/>
  <c r="AR22" i="19" s="1"/>
  <c r="AM89" i="16" l="1"/>
  <c r="AN89" i="16" s="1"/>
  <c r="AM90" i="16" s="1"/>
  <c r="AN90" i="16" s="1"/>
  <c r="AN95" i="16" s="1"/>
  <c r="AN97" i="16" s="1"/>
  <c r="AI41" i="19"/>
  <c r="AJ41" i="19" s="1"/>
  <c r="AI42" i="19" s="1"/>
  <c r="AJ42" i="19" s="1"/>
  <c r="AJ49" i="19" s="1"/>
  <c r="Y16" i="23" s="1"/>
  <c r="AQ75" i="16"/>
  <c r="AR75" i="16" s="1"/>
  <c r="AR86" i="16" s="1"/>
  <c r="AI41" i="16"/>
  <c r="AJ41" i="16" s="1"/>
  <c r="AI42" i="16" s="1"/>
  <c r="AJ42" i="16" s="1"/>
  <c r="AJ49" i="16" s="1"/>
  <c r="I16" i="23" s="1"/>
  <c r="U18" i="23"/>
  <c r="AQ26" i="19"/>
  <c r="AR26" i="19" s="1"/>
  <c r="AQ29" i="19"/>
  <c r="AR29" i="19" s="1"/>
  <c r="AQ26" i="16"/>
  <c r="AR26" i="16" s="1"/>
  <c r="AQ29" i="16"/>
  <c r="AR29" i="16" s="1"/>
  <c r="AN38" i="16"/>
  <c r="AC18" i="23"/>
  <c r="AQ75" i="19"/>
  <c r="AR75" i="19" s="1"/>
  <c r="M18" i="23"/>
  <c r="AN86" i="19"/>
  <c r="AN38" i="19"/>
  <c r="E18" i="23"/>
  <c r="AG15" i="23"/>
  <c r="Q15" i="23"/>
  <c r="AV14" i="19"/>
  <c r="AV22" i="19" s="1"/>
  <c r="AV62" i="16"/>
  <c r="AV70" i="16" s="1"/>
  <c r="AU75" i="16" s="1"/>
  <c r="AU86" i="16" s="1"/>
  <c r="AV14" i="16"/>
  <c r="AV22" i="16" s="1"/>
  <c r="AV62" i="19"/>
  <c r="AV70" i="19" s="1"/>
  <c r="AQ89" i="16" l="1"/>
  <c r="AR89" i="16" s="1"/>
  <c r="AQ90" i="16" s="1"/>
  <c r="AR90" i="16" s="1"/>
  <c r="AR95" i="16" s="1"/>
  <c r="AR97" i="16" s="1"/>
  <c r="AM41" i="16"/>
  <c r="AN41" i="16" s="1"/>
  <c r="AM42" i="16" s="1"/>
  <c r="AN42" i="16" s="1"/>
  <c r="AN49" i="16" s="1"/>
  <c r="I17" i="23" s="1"/>
  <c r="AM41" i="19"/>
  <c r="AN41" i="19" s="1"/>
  <c r="AM42" i="19" s="1"/>
  <c r="AN42" i="19" s="1"/>
  <c r="AN49" i="19" s="1"/>
  <c r="Y17" i="23" s="1"/>
  <c r="AM89" i="19"/>
  <c r="AN89" i="19" s="1"/>
  <c r="AM90" i="19" s="1"/>
  <c r="AN90" i="19" s="1"/>
  <c r="AN95" i="19" s="1"/>
  <c r="AN97" i="19" s="1"/>
  <c r="AU26" i="16"/>
  <c r="AV26" i="16" s="1"/>
  <c r="AU29" i="16"/>
  <c r="AV29" i="16" s="1"/>
  <c r="U19" i="23"/>
  <c r="AU29" i="19"/>
  <c r="AV29" i="19" s="1"/>
  <c r="AU26" i="19"/>
  <c r="AV26" i="19" s="1"/>
  <c r="AR38" i="16"/>
  <c r="AV75" i="16"/>
  <c r="AV86" i="16" s="1"/>
  <c r="AC19" i="23"/>
  <c r="AU75" i="19"/>
  <c r="AV75" i="19" s="1"/>
  <c r="M19" i="23"/>
  <c r="AR38" i="19"/>
  <c r="AR86" i="19"/>
  <c r="E19" i="23"/>
  <c r="AG16" i="23"/>
  <c r="Q16" i="23"/>
  <c r="AQ41" i="16" l="1"/>
  <c r="AR41" i="16" s="1"/>
  <c r="AQ42" i="16" s="1"/>
  <c r="AR42" i="16" s="1"/>
  <c r="AR49" i="16" s="1"/>
  <c r="I18" i="23" s="1"/>
  <c r="AQ41" i="19"/>
  <c r="AR41" i="19" s="1"/>
  <c r="AQ42" i="19" s="1"/>
  <c r="AR42" i="19" s="1"/>
  <c r="AR49" i="19" s="1"/>
  <c r="Y18" i="23" s="1"/>
  <c r="AU89" i="16"/>
  <c r="AV89" i="16" s="1"/>
  <c r="AU90" i="16" s="1"/>
  <c r="AV90" i="16" s="1"/>
  <c r="AQ89" i="19"/>
  <c r="AR89" i="19" s="1"/>
  <c r="AQ90" i="19" s="1"/>
  <c r="AR90" i="19" s="1"/>
  <c r="AR95" i="19" s="1"/>
  <c r="AR97" i="19" s="1"/>
  <c r="AV38" i="16"/>
  <c r="AV38" i="19"/>
  <c r="AV86" i="19"/>
  <c r="AG17" i="23"/>
  <c r="Q17" i="23"/>
  <c r="AU41" i="19" l="1"/>
  <c r="AV41" i="19" s="1"/>
  <c r="AU42" i="19" s="1"/>
  <c r="AV42" i="19" s="1"/>
  <c r="AV49" i="19" s="1"/>
  <c r="Y19" i="23" s="1"/>
  <c r="AU41" i="16"/>
  <c r="AV41" i="16" s="1"/>
  <c r="AU42" i="16" s="1"/>
  <c r="AV42" i="16" s="1"/>
  <c r="AV49" i="16" s="1"/>
  <c r="I19" i="23" s="1"/>
  <c r="AV95" i="16"/>
  <c r="AV97" i="16" s="1"/>
  <c r="AU89" i="19"/>
  <c r="AV89" i="19" s="1"/>
  <c r="AU90" i="19" s="1"/>
  <c r="AV90" i="19" s="1"/>
  <c r="AV95" i="19" s="1"/>
  <c r="AV97" i="19" s="1"/>
  <c r="AG18" i="23"/>
  <c r="Q18" i="23"/>
  <c r="P9" i="6" l="1"/>
  <c r="Q9" i="6" s="1"/>
  <c r="P14" i="6"/>
  <c r="P12" i="6"/>
  <c r="P11" i="6"/>
  <c r="P15" i="6"/>
  <c r="Q15" i="6" s="1"/>
  <c r="P17" i="6"/>
  <c r="P10" i="6"/>
  <c r="P18" i="6"/>
  <c r="P13" i="6"/>
  <c r="P16" i="6"/>
  <c r="P7" i="6"/>
  <c r="P6" i="6"/>
  <c r="P8" i="6"/>
  <c r="P5" i="6"/>
  <c r="AG19" i="23"/>
  <c r="Q19" i="23"/>
  <c r="C14" i="4" s="1"/>
  <c r="B37" i="4"/>
  <c r="C37" i="4"/>
  <c r="D37" i="4"/>
  <c r="B14" i="4" l="1"/>
  <c r="C16" i="4"/>
  <c r="C21" i="4"/>
  <c r="C15" i="4"/>
  <c r="C17" i="4"/>
  <c r="C25" i="4"/>
  <c r="C24" i="4"/>
  <c r="C20" i="4"/>
  <c r="C19" i="4"/>
  <c r="C18" i="4"/>
  <c r="C23" i="4"/>
  <c r="C22" i="4"/>
  <c r="S9" i="6"/>
  <c r="Q16" i="6"/>
  <c r="S16" i="6"/>
  <c r="S18" i="6"/>
  <c r="Q18" i="6"/>
  <c r="Q10" i="6"/>
  <c r="S10" i="6"/>
  <c r="R10" i="6"/>
  <c r="Q17" i="6"/>
  <c r="S17" i="6"/>
  <c r="R17" i="6"/>
  <c r="Q11" i="6"/>
  <c r="S11" i="6"/>
  <c r="S13" i="6"/>
  <c r="Q13" i="6"/>
  <c r="T15" i="6"/>
  <c r="U15" i="6" s="1"/>
  <c r="T11" i="6"/>
  <c r="T10" i="6"/>
  <c r="T18" i="6"/>
  <c r="T12" i="6"/>
  <c r="T13" i="6"/>
  <c r="T14" i="6"/>
  <c r="T16" i="6"/>
  <c r="T17" i="6"/>
  <c r="Q12" i="6"/>
  <c r="R12" i="6"/>
  <c r="S12" i="6"/>
  <c r="Q14" i="6"/>
  <c r="R14" i="6"/>
  <c r="S14" i="6"/>
  <c r="R16" i="6"/>
  <c r="R18" i="6"/>
  <c r="R13" i="6"/>
  <c r="R11" i="6"/>
  <c r="R9" i="6"/>
  <c r="B39" i="4"/>
  <c r="B40" i="4" s="1"/>
  <c r="B9" i="4" a="1"/>
  <c r="B9" i="4" s="1"/>
  <c r="C9" i="4" s="1"/>
  <c r="Q5" i="6"/>
  <c r="S5" i="6"/>
  <c r="R5" i="6"/>
  <c r="R8" i="6"/>
  <c r="S8" i="6"/>
  <c r="Q6" i="6"/>
  <c r="R6" i="6"/>
  <c r="S6" i="6"/>
  <c r="Q7" i="6"/>
  <c r="S7" i="6"/>
  <c r="R7" i="6"/>
  <c r="Q8" i="6"/>
  <c r="B10" i="4"/>
  <c r="D10" i="4"/>
  <c r="C10" i="4"/>
  <c r="T9" i="6"/>
  <c r="T8" i="6"/>
  <c r="T6" i="6"/>
  <c r="T7" i="6"/>
  <c r="T5" i="6"/>
  <c r="B24" i="4"/>
  <c r="B18" i="4"/>
  <c r="B23" i="4"/>
  <c r="B15" i="4"/>
  <c r="B17" i="4"/>
  <c r="D21" i="4"/>
  <c r="D24" i="4"/>
  <c r="B16" i="4"/>
  <c r="B22" i="4"/>
  <c r="D19" i="4"/>
  <c r="D25" i="4"/>
  <c r="D15" i="4"/>
  <c r="B21" i="4"/>
  <c r="D18" i="4"/>
  <c r="D23" i="4"/>
  <c r="B25" i="4"/>
  <c r="B20" i="4"/>
  <c r="D17" i="4"/>
  <c r="D16" i="4"/>
  <c r="D20" i="4"/>
  <c r="B19" i="4"/>
  <c r="D14" i="4"/>
  <c r="D22" i="4"/>
  <c r="C29" i="4" l="1"/>
  <c r="D29" i="4" s="1"/>
  <c r="U17" i="6"/>
  <c r="W17" i="6"/>
  <c r="V17" i="6"/>
  <c r="W16" i="6"/>
  <c r="U16" i="6"/>
  <c r="U14" i="6"/>
  <c r="V14" i="6"/>
  <c r="W14" i="6"/>
  <c r="U13" i="6"/>
  <c r="W13" i="6"/>
  <c r="U12" i="6"/>
  <c r="W12" i="6"/>
  <c r="V12" i="6"/>
  <c r="U18" i="6"/>
  <c r="W18" i="6"/>
  <c r="U10" i="6"/>
  <c r="W10" i="6"/>
  <c r="V10" i="6"/>
  <c r="U11" i="6"/>
  <c r="W11" i="6"/>
  <c r="U9" i="6"/>
  <c r="V9" i="6"/>
  <c r="W9" i="6"/>
  <c r="V11" i="6"/>
  <c r="V16" i="6"/>
  <c r="V13" i="6"/>
  <c r="V18" i="6"/>
  <c r="C39" i="4"/>
  <c r="D39" i="4" s="1"/>
  <c r="D40" i="4" s="1"/>
  <c r="U5" i="6"/>
  <c r="V5" i="6"/>
  <c r="W5" i="6"/>
  <c r="U7" i="6"/>
  <c r="V7" i="6"/>
  <c r="W7" i="6"/>
  <c r="U6" i="6"/>
  <c r="V6" i="6"/>
  <c r="W6" i="6"/>
  <c r="V8" i="6"/>
  <c r="W8" i="6"/>
  <c r="U8" i="6"/>
  <c r="C26" i="4"/>
  <c r="D26" i="4"/>
  <c r="B26" i="4"/>
  <c r="B27" i="4" s="1"/>
  <c r="C40" i="4" l="1"/>
  <c r="D27" i="4"/>
  <c r="C27" i="4"/>
</calcChain>
</file>

<file path=xl/comments1.xml><?xml version="1.0" encoding="utf-8"?>
<comments xmlns="http://schemas.openxmlformats.org/spreadsheetml/2006/main">
  <authors>
    <author>tc={4795B997-0CFC-42EE-9A8F-84AEF75B12DF}</author>
    <author>tc={58A25B7B-BDB5-4B13-82B6-E32DA5277410}</author>
  </authors>
  <commentList>
    <comment ref="B4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Brought "Type of Change next to Surcharge Type</t>
        </r>
      </text>
    </comment>
    <comment ref="C46"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Conditionally formatted cells to automatically display % or current depending on "Type of Charge"
</t>
        </r>
      </text>
    </comment>
  </commentList>
</comments>
</file>

<file path=xl/comments2.xml><?xml version="1.0" encoding="utf-8"?>
<comments xmlns="http://schemas.openxmlformats.org/spreadsheetml/2006/main">
  <authors>
    <author>tc={5EB4B72E-02CD-46B6-A835-8DA716E9097C}</author>
    <author>tc={C8161740-81D7-43CA-A868-63A5CE27CB46}</author>
  </authors>
  <commentList>
    <comment ref="B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Look up input value using non-CAP customers
Conditionally format based on Type of Surcharge</t>
        </r>
      </text>
    </comment>
    <comment ref="C2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Lookup %, Fixed, usage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<sst xmlns="http://schemas.openxmlformats.org/spreadsheetml/2006/main" count="2299" uniqueCount="284">
  <si>
    <t>CALIFORNIA WATER SERVICE COMPANY</t>
  </si>
  <si>
    <t>BILL IMPACT COMPARISON</t>
  </si>
  <si>
    <t>Tier 1</t>
  </si>
  <si>
    <t>Tier 2</t>
  </si>
  <si>
    <t>Tier 3</t>
  </si>
  <si>
    <t>Service Charge</t>
  </si>
  <si>
    <t>Meter Size</t>
  </si>
  <si>
    <t>Usage</t>
  </si>
  <si>
    <t>Customer Class</t>
  </si>
  <si>
    <t>Tier Breakpoints (CCF)</t>
  </si>
  <si>
    <t>x</t>
  </si>
  <si>
    <t>Tier Rates (per CCF)</t>
  </si>
  <si>
    <t>1"</t>
  </si>
  <si>
    <t>5/8"</t>
  </si>
  <si>
    <t>3/4"</t>
  </si>
  <si>
    <t>1 1/2"</t>
  </si>
  <si>
    <t>2"</t>
  </si>
  <si>
    <t>3"</t>
  </si>
  <si>
    <t>4"</t>
  </si>
  <si>
    <t>6"</t>
  </si>
  <si>
    <t>8"</t>
  </si>
  <si>
    <t>10"</t>
  </si>
  <si>
    <t>12"</t>
  </si>
  <si>
    <t>14"</t>
  </si>
  <si>
    <t>Residential</t>
  </si>
  <si>
    <t>Non-Residential</t>
  </si>
  <si>
    <t>Yes</t>
  </si>
  <si>
    <t>No</t>
  </si>
  <si>
    <t>Service Area</t>
  </si>
  <si>
    <t>Rate</t>
  </si>
  <si>
    <t>Charge</t>
  </si>
  <si>
    <t>Tier 4</t>
  </si>
  <si>
    <t>Tier 5</t>
  </si>
  <si>
    <t>Volumetric Charge</t>
  </si>
  <si>
    <t>Surcharges</t>
  </si>
  <si>
    <t>Taxes</t>
  </si>
  <si>
    <t>CPUC Fee</t>
  </si>
  <si>
    <t>&lt;-- Select</t>
  </si>
  <si>
    <t>Percentage</t>
  </si>
  <si>
    <t>Sub-Total</t>
  </si>
  <si>
    <t>Total Bill</t>
  </si>
  <si>
    <t>Usage (CCF)</t>
  </si>
  <si>
    <t>DO NOT DELETE</t>
  </si>
  <si>
    <t>Volumetric</t>
  </si>
  <si>
    <t>Usage/Base Bill</t>
  </si>
  <si>
    <t>Taxable Amount</t>
  </si>
  <si>
    <t>Fire Sprinkler 1" Meter</t>
  </si>
  <si>
    <t>Reserved</t>
  </si>
  <si>
    <t>Fire Sprinkler 3/4" Meter</t>
  </si>
  <si>
    <t>Fire Sprinkler 2" Meter</t>
  </si>
  <si>
    <t>Monthly</t>
  </si>
  <si>
    <t>Billing Frequency</t>
  </si>
  <si>
    <t>January</t>
  </si>
  <si>
    <t>February</t>
  </si>
  <si>
    <t>March</t>
  </si>
  <si>
    <t>April</t>
  </si>
  <si>
    <t>May</t>
  </si>
  <si>
    <t>June</t>
  </si>
  <si>
    <t>July</t>
  </si>
  <si>
    <t>August</t>
  </si>
  <si>
    <t>September</t>
  </si>
  <si>
    <t>October</t>
  </si>
  <si>
    <t>November</t>
  </si>
  <si>
    <t>December</t>
  </si>
  <si>
    <t>GRC Filing Date</t>
  </si>
  <si>
    <t>Filing Year</t>
  </si>
  <si>
    <t>Ratemaking area connections (Dec of last recorded year)</t>
  </si>
  <si>
    <t>Status</t>
  </si>
  <si>
    <t>Description</t>
  </si>
  <si>
    <t>Expiration Date</t>
  </si>
  <si>
    <t>Active</t>
  </si>
  <si>
    <t>Pending - Filed</t>
  </si>
  <si>
    <t>Pending - New Filing</t>
  </si>
  <si>
    <t>Anticipated</t>
  </si>
  <si>
    <t>Proceeding or AL #</t>
  </si>
  <si>
    <t>Eff. Date or Proposed Eff Date (month/year)</t>
  </si>
  <si>
    <t>Revenue Requirement ($)</t>
  </si>
  <si>
    <t>Avg Usage (CCF)</t>
  </si>
  <si>
    <t>Projected Monthly Bill (CAP)</t>
  </si>
  <si>
    <t>Projected Annual Bill (Non-CAP)</t>
  </si>
  <si>
    <t>Projected Annual Bill (CAP)</t>
  </si>
  <si>
    <t>Annualized</t>
  </si>
  <si>
    <t>N/A</t>
  </si>
  <si>
    <t>Year</t>
  </si>
  <si>
    <t>Years for Template</t>
  </si>
  <si>
    <t>Total</t>
  </si>
  <si>
    <t>Month</t>
  </si>
  <si>
    <t>% Change</t>
  </si>
  <si>
    <t>CAP</t>
  </si>
  <si>
    <t>CAP Customer</t>
  </si>
  <si>
    <t xml:space="preserve">Incremental Revenue </t>
  </si>
  <si>
    <t>Total Projected Annual Rev Req't</t>
  </si>
  <si>
    <t>Annual</t>
  </si>
  <si>
    <t>Input areas</t>
  </si>
  <si>
    <t>INSTRUCTIONS</t>
  </si>
  <si>
    <t>Key</t>
  </si>
  <si>
    <t>Hard coded or linked from outside the tracker</t>
  </si>
  <si>
    <t>Step by Step</t>
  </si>
  <si>
    <t>Start with "Input" Sheet</t>
  </si>
  <si>
    <t>1. In cell B5 put the GRC filing date</t>
  </si>
  <si>
    <t>The rest will auto populated after you press F9.</t>
  </si>
  <si>
    <t>Press F9 to refresh links after inputting data</t>
  </si>
  <si>
    <t>2. Input GRC Proposed or other known revenue requirement projections starting in row 5</t>
  </si>
  <si>
    <t xml:space="preserve">"Summary" Sheet </t>
  </si>
  <si>
    <t>End</t>
  </si>
  <si>
    <t>Year for Rates</t>
  </si>
  <si>
    <t>Year for Rev Req't</t>
  </si>
  <si>
    <t>Years</t>
  </si>
  <si>
    <t>"Rev Req't_yrs 1-3" Sheet</t>
  </si>
  <si>
    <t>Type of Charge</t>
  </si>
  <si>
    <t>Yr. over Yr. % Increase/(Decrease)</t>
  </si>
  <si>
    <t xml:space="preserve">2. In cell B7 put Company wide connections (Dec of last recorded year). This is informational only </t>
  </si>
  <si>
    <t>and does not impact calculations.</t>
  </si>
  <si>
    <t xml:space="preserve">3. In cell B8 put Ratemaking area connections (Dec of last recorded year). This is informational only </t>
  </si>
  <si>
    <t xml:space="preserve">4. Input average use in Cells C5, C9, C10 and C11. This will be used in the bill calculators and </t>
  </si>
  <si>
    <t>summary sheet</t>
  </si>
  <si>
    <t xml:space="preserve">5. In cell A69 type the Ratemaking area (you can include sub-areas, but please note that this may </t>
  </si>
  <si>
    <t>require some formula changes for rates/surcharges if the rates differ between sub-areas).</t>
  </si>
  <si>
    <t xml:space="preserve">6. In cells S68 through S80 identify whether the surcharge is Flat, Percentage or Volumetric based </t>
  </si>
  <si>
    <t>using the drop down.</t>
  </si>
  <si>
    <t xml:space="preserve">7. Input any projected rates (and surcharges) from the GRC into the appropriate areas (the range is </t>
  </si>
  <si>
    <t>cell B14 to cell AL65).</t>
  </si>
  <si>
    <t xml:space="preserve">The important columns to complete are the Status, Proceeding or AL #, Description, </t>
  </si>
  <si>
    <t xml:space="preserve">Revenue Recovery Mechanism, Revenue Requirement, and Eff. Date or Proposed Eff </t>
  </si>
  <si>
    <t xml:space="preserve">Date (month/year). </t>
  </si>
  <si>
    <t xml:space="preserve">Although the important columns to complete are the same as item 1 above, only the </t>
  </si>
  <si>
    <t xml:space="preserve">"status", "incremental $ from base", and "eff. Date or proposed eff. Date (month/year) are </t>
  </si>
  <si>
    <t xml:space="preserve">used as part of the calculations that feed into the summary sheet. </t>
  </si>
  <si>
    <t xml:space="preserve">The tab allows for projections in any of the years of the three year cycle that the template </t>
  </si>
  <si>
    <t xml:space="preserve">is tracking. </t>
  </si>
  <si>
    <t>Scenario</t>
  </si>
  <si>
    <t>CAP/NON-CAP</t>
  </si>
  <si>
    <t>Usage Level</t>
  </si>
  <si>
    <t>Non-CAP</t>
  </si>
  <si>
    <t>Essential (6 CCF)</t>
  </si>
  <si>
    <t>Current</t>
  </si>
  <si>
    <t>Base Bill</t>
  </si>
  <si>
    <t>Projected Total Monthly Bill (non-CAP)</t>
  </si>
  <si>
    <t>Template Date</t>
  </si>
  <si>
    <t xml:space="preserve">Using the drop down on cell B4, select if you want to view the base or total bill. </t>
  </si>
  <si>
    <t xml:space="preserve">Using the drop down on cell B5, select if you want to view the bill impacts for CAP or </t>
  </si>
  <si>
    <t>Non-CAP customers</t>
  </si>
  <si>
    <t xml:space="preserve">Using the drop down on cell B6, select if you want to view the bill impact at the </t>
  </si>
  <si>
    <t xml:space="preserve">average or essential usage levels. </t>
  </si>
  <si>
    <t>Revenue Recovery Mechanism (Surcharge, Credit, Rev Req't)</t>
  </si>
  <si>
    <t>Surcharge</t>
  </si>
  <si>
    <t>Credit</t>
  </si>
  <si>
    <t>Rev Req't</t>
  </si>
  <si>
    <t>Revenue Requirement Projections</t>
  </si>
  <si>
    <t>3. Change filings from "Active" to "Superseded" if there is a new "Active" rev req't.</t>
  </si>
  <si>
    <t xml:space="preserve">1. Input Adopted Revenue Requirement (at the time of filing) into Row 5. This is the baseline, </t>
  </si>
  <si>
    <t>or starting point of the template</t>
  </si>
  <si>
    <t xml:space="preserve">*if the change occurs after the 15th of the month, please put it into the following month. </t>
  </si>
  <si>
    <t>For example, if the change is effective 4/15, please put it into May.</t>
  </si>
  <si>
    <t>Fixed</t>
  </si>
  <si>
    <t>Non-CAP Average Usage</t>
  </si>
  <si>
    <t>CAP Average Usage</t>
  </si>
  <si>
    <t>Date</t>
  </si>
  <si>
    <t>Notes</t>
  </si>
  <si>
    <t>Tab</t>
  </si>
  <si>
    <t>Cell</t>
  </si>
  <si>
    <t>Input</t>
  </si>
  <si>
    <t>C4:D11</t>
  </si>
  <si>
    <r>
      <rPr>
        <b/>
        <sz val="11"/>
        <color theme="1"/>
        <rFont val="Calibri"/>
        <family val="2"/>
        <scheme val="minor"/>
      </rPr>
      <t>Pending – Filed</t>
    </r>
    <r>
      <rPr>
        <sz val="11"/>
        <color theme="1"/>
        <rFont val="Calibri"/>
        <family val="2"/>
        <scheme val="minor"/>
      </rPr>
      <t>: Any proceeding or advice letter that has been reviewed and is awaiting a Commission decision that will impact the last adopted revenue requirement and/or customer bills.</t>
    </r>
  </si>
  <si>
    <r>
      <rPr>
        <b/>
        <sz val="11"/>
        <color theme="1"/>
        <rFont val="Calibri"/>
        <family val="2"/>
        <scheme val="minor"/>
      </rPr>
      <t>Pending – New Filing</t>
    </r>
    <r>
      <rPr>
        <sz val="11"/>
        <color theme="1"/>
        <rFont val="Calibri"/>
        <family val="2"/>
        <scheme val="minor"/>
      </rPr>
      <t>: Any proceeding or advice letter currently under review and not yet awaiting a Commission decision that will impact the Last adopted revenue requirement and/or customer bills.</t>
    </r>
  </si>
  <si>
    <r>
      <rPr>
        <b/>
        <sz val="11"/>
        <color theme="1"/>
        <rFont val="Calibri"/>
        <family val="2"/>
        <scheme val="minor"/>
      </rPr>
      <t>Anticipated</t>
    </r>
    <r>
      <rPr>
        <sz val="11"/>
        <color theme="1"/>
        <rFont val="Calibri"/>
        <family val="2"/>
        <scheme val="minor"/>
      </rPr>
      <t>: Any proceeding or advice letter, including escalation filings, attrition filings, and recovery of monies in memorandum and balancing accounts, anticipated to be filed within the next 36 months that will impact the Last adopted Revenue Requirement and/or customer bills.</t>
    </r>
  </si>
  <si>
    <t>All Residential Tabs</t>
  </si>
  <si>
    <t>Row 37 and 85</t>
  </si>
  <si>
    <t xml:space="preserve">Inserted rows due to missing additional surcharge row from input tab. </t>
  </si>
  <si>
    <t>District</t>
  </si>
  <si>
    <t xml:space="preserve">Non-CAP </t>
  </si>
  <si>
    <t>Superceded</t>
  </si>
  <si>
    <t>Included separate usages for CAP and Non-CAP customers. This carried over to Calculator Data Summary Tabs and all "Residential Bill" tabs.</t>
  </si>
  <si>
    <t>B46:58, B62:74</t>
  </si>
  <si>
    <t>C46:58, C62:74</t>
  </si>
  <si>
    <t>Updated input variables to match the type of surcharge. (E.g. a surcharge with a percent will automatically change input values to percentages)</t>
  </si>
  <si>
    <t>Summary</t>
  </si>
  <si>
    <t>B4:B6</t>
  </si>
  <si>
    <t>Independent drop downs for CAP and Non-CAP customer usages.</t>
  </si>
  <si>
    <t>Create separate surcharges for CAP and Non-CAP customers. Included "Types of Surcharges" next to different surcharges.</t>
  </si>
  <si>
    <t>Incremental $ from Recent Active Revenue Requirement</t>
  </si>
  <si>
    <t>Incremental % from Recent Active Revenue Requirement</t>
  </si>
  <si>
    <t>Incremental $ from Original Revenue Requirement</t>
  </si>
  <si>
    <t>Incremental % from Original Revenue Requirement</t>
  </si>
  <si>
    <r>
      <rPr>
        <b/>
        <sz val="11"/>
        <color theme="1"/>
        <rFont val="Calibri"/>
        <family val="2"/>
        <scheme val="minor"/>
      </rPr>
      <t>Superceded</t>
    </r>
    <r>
      <rPr>
        <sz val="11"/>
        <color theme="1"/>
        <rFont val="Calibri"/>
        <family val="2"/>
        <scheme val="minor"/>
      </rPr>
      <t>: A Revenue Requirement that is not active.</t>
    </r>
  </si>
  <si>
    <r>
      <rPr>
        <b/>
        <sz val="11"/>
        <color theme="1"/>
        <rFont val="Calibri"/>
        <family val="2"/>
        <scheme val="minor"/>
      </rPr>
      <t>Revenue Requirement</t>
    </r>
    <r>
      <rPr>
        <sz val="11"/>
        <color theme="1"/>
        <rFont val="Calibri"/>
        <family val="2"/>
        <scheme val="minor"/>
      </rPr>
      <t>: Adopted or proposed Revenue Requirement submitted to the Commission.</t>
    </r>
  </si>
  <si>
    <t>% Bill Impact from Recent Active Revenue Requirement</t>
  </si>
  <si>
    <t>% Bill Impact from Original Revenue Requirement</t>
  </si>
  <si>
    <t>Conditional formatted to automatically display rates as percentages or dollars depending on surcharge/surcredit</t>
  </si>
  <si>
    <t>Updated equation to pull data from independent CAP and Non-CAP surcharges</t>
  </si>
  <si>
    <t>Last Adoped Revenue Requirement</t>
  </si>
  <si>
    <r>
      <rPr>
        <b/>
        <sz val="11"/>
        <color theme="1"/>
        <rFont val="Calibri"/>
        <family val="2"/>
        <scheme val="minor"/>
      </rPr>
      <t>Last Adopted Revenue Requirement</t>
    </r>
    <r>
      <rPr>
        <sz val="11"/>
        <color theme="1"/>
        <rFont val="Calibri"/>
        <family val="2"/>
        <scheme val="minor"/>
      </rPr>
      <t>: The Revenue Requirement filed at the beginning of the tracker from the last adopted proceeding</t>
    </r>
  </si>
  <si>
    <t>F87</t>
  </si>
  <si>
    <t>F88</t>
  </si>
  <si>
    <t>F89</t>
  </si>
  <si>
    <t>F90</t>
  </si>
  <si>
    <t>F91</t>
  </si>
  <si>
    <t>F94</t>
  </si>
  <si>
    <t>F95</t>
  </si>
  <si>
    <t>F96</t>
  </si>
  <si>
    <t>F97</t>
  </si>
  <si>
    <t>F98</t>
  </si>
  <si>
    <t>F101</t>
  </si>
  <si>
    <t>F102</t>
  </si>
  <si>
    <t>F103</t>
  </si>
  <si>
    <t>F104</t>
  </si>
  <si>
    <t>F105</t>
  </si>
  <si>
    <t>F106</t>
  </si>
  <si>
    <t>F108</t>
  </si>
  <si>
    <t>F109</t>
  </si>
  <si>
    <t>F110</t>
  </si>
  <si>
    <t>F111</t>
  </si>
  <si>
    <t>F112</t>
  </si>
  <si>
    <t>F85</t>
  </si>
  <si>
    <t>F92</t>
  </si>
  <si>
    <t>F99</t>
  </si>
  <si>
    <t>Changed reference to correct area in "Input" Tab</t>
  </si>
  <si>
    <t>Rows 17-48</t>
  </si>
  <si>
    <t>Rows 92, 99, 107</t>
  </si>
  <si>
    <t>Added equation for Tier 4 or Tier 5 designation if tiers change between years</t>
  </si>
  <si>
    <t>NA</t>
  </si>
  <si>
    <t>SRF 1</t>
  </si>
  <si>
    <t>SRF 2</t>
  </si>
  <si>
    <t>WRAP</t>
  </si>
  <si>
    <t>PRVMA</t>
  </si>
  <si>
    <t>2022 Surcredit</t>
  </si>
  <si>
    <t>Average (11 CCFS)</t>
  </si>
  <si>
    <t>AL556 and AL561A</t>
  </si>
  <si>
    <t>2021 Escalation + Supply Offset</t>
  </si>
  <si>
    <t>AL575</t>
  </si>
  <si>
    <t>Franciscan Ratebase addition</t>
  </si>
  <si>
    <t>AL577</t>
  </si>
  <si>
    <t>2022 VW Supply offset</t>
  </si>
  <si>
    <t>AL581</t>
  </si>
  <si>
    <t>Balancing and Memorandum account surcharge</t>
  </si>
  <si>
    <t>AL582</t>
  </si>
  <si>
    <t>WCMA 2022</t>
  </si>
  <si>
    <t>AL583/D.22-10-005</t>
  </si>
  <si>
    <t>2022 Rates - Delay GRC Decision</t>
  </si>
  <si>
    <t>2022 Interim</t>
  </si>
  <si>
    <t>2023 Rates</t>
  </si>
  <si>
    <t>2023 VW Supply offset</t>
  </si>
  <si>
    <t>2024 Rates</t>
  </si>
  <si>
    <t>AMI filing</t>
  </si>
  <si>
    <t>2024 VW Supply offset</t>
  </si>
  <si>
    <t>2025 Rates</t>
  </si>
  <si>
    <t>2025 VW Supply offset</t>
  </si>
  <si>
    <t>D.22-10-005</t>
  </si>
  <si>
    <t>D.22-05-013</t>
  </si>
  <si>
    <t>CSJ UTT</t>
  </si>
  <si>
    <t>San Jose Water Company</t>
  </si>
  <si>
    <t>Interim Memo Account Surcharge</t>
  </si>
  <si>
    <t>Company wide Residenital connections (Dec of last recorded year)</t>
  </si>
  <si>
    <t>A7</t>
  </si>
  <si>
    <t>Clarification for Residential Customers</t>
  </si>
  <si>
    <t xml:space="preserve">Input </t>
  </si>
  <si>
    <t>A1</t>
  </si>
  <si>
    <t>Insert utility name. This will spread across each tab that references the utility's name</t>
  </si>
  <si>
    <t>Tiered Cells</t>
  </si>
  <si>
    <t xml:space="preserve">Corrected error when referencing incorrect cells. </t>
  </si>
  <si>
    <t>SAN JOSE WATER COMPANY</t>
  </si>
  <si>
    <t>Summary of Selected Data - WD draft based on CforAT 11-30-22 comments in Affordability proceeding</t>
  </si>
  <si>
    <t>Revenue</t>
  </si>
  <si>
    <t xml:space="preserve"> Requirement</t>
  </si>
  <si>
    <t>$000</t>
  </si>
  <si>
    <t>Current total system-level revenue requirement that is used for defining the reporting threshold:</t>
  </si>
  <si>
    <t>A</t>
  </si>
  <si>
    <t>One-percent reporting threshold</t>
  </si>
  <si>
    <t>List of currently open proceedings that exceed the threshold for use of the affordability metrics (proceedings shaded gray filed prior to D.22-08-023):</t>
  </si>
  <si>
    <t>B</t>
  </si>
  <si>
    <t>C</t>
  </si>
  <si>
    <t>D</t>
  </si>
  <si>
    <t>E</t>
  </si>
  <si>
    <t>F</t>
  </si>
  <si>
    <t>List of currently open proceedings for which affordability metrics have been filed:</t>
  </si>
  <si>
    <t>List of currently open proceedings that do not exceed the threshold for use of the affordability metrics (proceedings shaded gray filed prior to D.22-08-023):</t>
  </si>
  <si>
    <t>Total system-level revenue requirement if all pending revenue were granted in full:
requests were granted in full</t>
  </si>
  <si>
    <t>YE 2022</t>
  </si>
  <si>
    <t>YE 2023</t>
  </si>
  <si>
    <t>YE 2024</t>
  </si>
  <si>
    <t>YE 2025</t>
  </si>
  <si>
    <t>A.21-05-004</t>
  </si>
  <si>
    <t>2021 Cost of Capital</t>
  </si>
  <si>
    <t>&lt;&lt;Application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</si>
</sst>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00"/>
    <numFmt numFmtId="166" formatCode="0.000%"/>
    <numFmt numFmtId="167" formatCode="&quot;$&quot;#,##0"/>
    <numFmt numFmtId="168" formatCode="0.0%"/>
    <numFmt numFmtId="169" formatCode="[$-409]mmmmm;@"/>
    <numFmt numFmtId="170" formatCode="_(* #,##0_);_(* \(#,##0\);_(* &quot;-&quot;??_);_(@_)"/>
    <numFmt numFmtId="171" formatCode="&quot;$&quot;#,##0.000"/>
    <numFmt numFmtId="172" formatCode="0.00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sz val="11"/>
      <color theme="0"/>
      <name val="Calibri"/>
      <family val="2"/>
      <scheme val="minor"/>
    </font>
    <font>
      <b/>
      <u/>
      <sz val="11"/>
      <color theme="1"/>
      <name val="Calibri"/>
      <family val="2"/>
      <scheme val="minor"/>
    </font>
    <font>
      <b/>
      <sz val="11"/>
      <color rgb="FF0000FF"/>
      <name val="Calibri"/>
      <family val="2"/>
      <scheme val="minor"/>
    </font>
    <font>
      <sz val="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2" fillId="0" borderId="0" xfId="0" applyFont="1"/>
    <xf numFmtId="0" fontId="0" fillId="0" borderId="0" xfId="0" quotePrefix="1"/>
    <xf numFmtId="0" fontId="0" fillId="0" borderId="0" xfId="0"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0" fillId="0" borderId="0" xfId="0" applyFont="1"/>
    <xf numFmtId="0" fontId="0" fillId="0" borderId="0" xfId="0" applyAlignment="1"/>
    <xf numFmtId="0" fontId="2" fillId="0" borderId="0" xfId="0" applyFont="1" applyAlignment="1">
      <alignment horizontal="left"/>
    </xf>
    <xf numFmtId="164" fontId="0" fillId="0" borderId="0" xfId="0" applyNumberFormat="1" applyAlignment="1">
      <alignment horizontal="center"/>
    </xf>
    <xf numFmtId="165" fontId="0" fillId="0" borderId="0" xfId="0" applyNumberFormat="1" applyAlignment="1">
      <alignment horizontal="center"/>
    </xf>
    <xf numFmtId="0" fontId="2" fillId="0" borderId="1" xfId="0" applyFont="1" applyBorder="1"/>
    <xf numFmtId="0" fontId="0" fillId="0" borderId="2" xfId="0" applyBorder="1" applyAlignment="1">
      <alignment horizontal="center"/>
    </xf>
    <xf numFmtId="0" fontId="2" fillId="0" borderId="3" xfId="0" applyFont="1" applyBorder="1"/>
    <xf numFmtId="0" fontId="0" fillId="0" borderId="4" xfId="0" applyBorder="1" applyAlignment="1">
      <alignment horizontal="center"/>
    </xf>
    <xf numFmtId="0" fontId="2" fillId="0" borderId="5" xfId="0" applyFont="1" applyBorder="1"/>
    <xf numFmtId="0" fontId="0" fillId="0" borderId="3" xfId="0" applyBorder="1"/>
    <xf numFmtId="0" fontId="0" fillId="0" borderId="0" xfId="0" applyBorder="1"/>
    <xf numFmtId="164" fontId="0" fillId="0" borderId="4" xfId="0" applyNumberFormat="1" applyFont="1" applyBorder="1" applyAlignment="1">
      <alignment horizontal="center"/>
    </xf>
    <xf numFmtId="0" fontId="0" fillId="0" borderId="4" xfId="0" applyBorder="1"/>
    <xf numFmtId="0" fontId="2" fillId="0" borderId="3"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165" fontId="0" fillId="0" borderId="3" xfId="0" applyNumberFormat="1" applyBorder="1" applyAlignment="1">
      <alignment horizontal="center"/>
    </xf>
    <xf numFmtId="0" fontId="0" fillId="0" borderId="0" xfId="0" applyBorder="1" applyAlignment="1">
      <alignment horizontal="center"/>
    </xf>
    <xf numFmtId="164" fontId="0" fillId="0" borderId="4" xfId="0" applyNumberFormat="1" applyBorder="1" applyAlignment="1">
      <alignment horizontal="center"/>
    </xf>
    <xf numFmtId="164" fontId="2" fillId="0" borderId="4" xfId="0" applyNumberFormat="1" applyFont="1" applyBorder="1" applyAlignment="1">
      <alignment horizontal="center"/>
    </xf>
    <xf numFmtId="0" fontId="0" fillId="0" borderId="5" xfId="0" applyBorder="1"/>
    <xf numFmtId="0" fontId="0" fillId="0" borderId="10" xfId="0" applyBorder="1"/>
    <xf numFmtId="10" fontId="0" fillId="0" borderId="3" xfId="1" applyNumberFormat="1" applyFont="1" applyBorder="1" applyAlignment="1">
      <alignment horizontal="center"/>
    </xf>
    <xf numFmtId="164" fontId="0" fillId="0" borderId="0" xfId="0" applyNumberFormat="1" applyBorder="1" applyAlignment="1">
      <alignment horizontal="center"/>
    </xf>
    <xf numFmtId="2" fontId="0" fillId="0" borderId="0" xfId="0" applyNumberFormat="1" applyBorder="1" applyAlignment="1">
      <alignment horizontal="center"/>
    </xf>
    <xf numFmtId="164" fontId="2" fillId="0" borderId="6" xfId="0" applyNumberFormat="1" applyFont="1" applyBorder="1" applyAlignment="1">
      <alignment horizontal="center"/>
    </xf>
    <xf numFmtId="165" fontId="1" fillId="0" borderId="0" xfId="0" applyNumberFormat="1" applyFont="1" applyFill="1" applyAlignment="1">
      <alignment horizontal="center"/>
    </xf>
    <xf numFmtId="0" fontId="2" fillId="0" borderId="0" xfId="0" applyFont="1" applyBorder="1"/>
    <xf numFmtId="0" fontId="0" fillId="0" borderId="6" xfId="0" applyBorder="1" applyAlignment="1">
      <alignment horizontal="center"/>
    </xf>
    <xf numFmtId="0" fontId="2" fillId="0" borderId="0" xfId="0" applyFont="1" applyAlignment="1">
      <alignment horizontal="center" wrapText="1"/>
    </xf>
    <xf numFmtId="0" fontId="0" fillId="0" borderId="0" xfId="0" applyFill="1"/>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center"/>
    </xf>
    <xf numFmtId="0" fontId="2" fillId="0" borderId="0" xfId="0" applyFont="1" applyFill="1"/>
    <xf numFmtId="9" fontId="0" fillId="0" borderId="0" xfId="1" applyFont="1" applyFill="1" applyAlignment="1">
      <alignment horizontal="center"/>
    </xf>
    <xf numFmtId="165" fontId="2" fillId="0" borderId="0" xfId="0" applyNumberFormat="1" applyFont="1" applyFill="1" applyAlignment="1">
      <alignment horizontal="center"/>
    </xf>
    <xf numFmtId="164" fontId="0" fillId="0" borderId="0" xfId="0" applyNumberFormat="1"/>
    <xf numFmtId="166" fontId="0" fillId="0" borderId="0" xfId="0" applyNumberFormat="1" applyFill="1"/>
    <xf numFmtId="0" fontId="2" fillId="0" borderId="0" xfId="0" quotePrefix="1" applyFont="1" applyFill="1" applyAlignment="1">
      <alignment horizontal="center"/>
    </xf>
    <xf numFmtId="0" fontId="0" fillId="0" borderId="0" xfId="0" applyFont="1" applyAlignment="1">
      <alignment wrapText="1"/>
    </xf>
    <xf numFmtId="0" fontId="0" fillId="3" borderId="0" xfId="0" applyFill="1"/>
    <xf numFmtId="164" fontId="2" fillId="0" borderId="0" xfId="0" applyNumberFormat="1" applyFont="1" applyAlignment="1">
      <alignment horizontal="center" wrapText="1"/>
    </xf>
    <xf numFmtId="167" fontId="0" fillId="0" borderId="0" xfId="0" applyNumberFormat="1" applyAlignment="1">
      <alignment horizontal="center"/>
    </xf>
    <xf numFmtId="167" fontId="2" fillId="0" borderId="0" xfId="0" applyNumberFormat="1" applyFont="1" applyAlignment="1">
      <alignment horizontal="center" wrapText="1"/>
    </xf>
    <xf numFmtId="167" fontId="0" fillId="3" borderId="0" xfId="0" applyNumberFormat="1" applyFill="1" applyAlignment="1">
      <alignment horizontal="center"/>
    </xf>
    <xf numFmtId="14" fontId="0" fillId="3" borderId="0" xfId="0" applyNumberFormat="1" applyFill="1" applyAlignment="1">
      <alignment horizontal="center"/>
    </xf>
    <xf numFmtId="0" fontId="0" fillId="3" borderId="0" xfId="0" applyFill="1" applyAlignment="1">
      <alignment horizontal="center"/>
    </xf>
    <xf numFmtId="9" fontId="0" fillId="0" borderId="0" xfId="1" applyFont="1" applyAlignment="1">
      <alignment horizontal="center"/>
    </xf>
    <xf numFmtId="0" fontId="5" fillId="0" borderId="0" xfId="0" applyFont="1" applyFill="1" applyAlignment="1">
      <alignment horizontal="center"/>
    </xf>
    <xf numFmtId="0" fontId="0" fillId="2" borderId="4" xfId="0" applyFill="1" applyBorder="1" applyAlignment="1">
      <alignment horizontal="center"/>
    </xf>
    <xf numFmtId="0" fontId="2" fillId="0" borderId="12" xfId="0" applyFont="1" applyBorder="1" applyAlignment="1">
      <alignment horizontal="center" wrapText="1"/>
    </xf>
    <xf numFmtId="0" fontId="2" fillId="0" borderId="2" xfId="0" applyFont="1" applyBorder="1" applyAlignment="1">
      <alignment horizontal="center" wrapText="1"/>
    </xf>
    <xf numFmtId="0" fontId="0" fillId="0" borderId="3" xfId="0" applyBorder="1" applyAlignment="1">
      <alignment horizontal="left"/>
    </xf>
    <xf numFmtId="0" fontId="2" fillId="0" borderId="13" xfId="0" applyFont="1" applyBorder="1"/>
    <xf numFmtId="164" fontId="2" fillId="0" borderId="11" xfId="0" applyNumberFormat="1" applyFont="1" applyBorder="1" applyAlignment="1">
      <alignment horizontal="center"/>
    </xf>
    <xf numFmtId="164" fontId="2" fillId="0" borderId="14" xfId="0" applyNumberFormat="1" applyFont="1" applyBorder="1" applyAlignment="1">
      <alignment horizontal="center"/>
    </xf>
    <xf numFmtId="164" fontId="2" fillId="0" borderId="0" xfId="0" applyNumberFormat="1" applyFont="1" applyBorder="1" applyAlignment="1">
      <alignment horizontal="center"/>
    </xf>
    <xf numFmtId="168" fontId="2" fillId="0" borderId="0" xfId="1" applyNumberFormat="1" applyFont="1" applyBorder="1" applyAlignment="1">
      <alignment horizontal="center"/>
    </xf>
    <xf numFmtId="0" fontId="0" fillId="4" borderId="0" xfId="0" applyFill="1"/>
    <xf numFmtId="167" fontId="0" fillId="4" borderId="0" xfId="0" applyNumberFormat="1" applyFill="1" applyAlignment="1">
      <alignment horizontal="center"/>
    </xf>
    <xf numFmtId="0" fontId="0" fillId="4" borderId="0" xfId="0" applyFill="1" applyAlignment="1">
      <alignment horizontal="center"/>
    </xf>
    <xf numFmtId="167" fontId="0" fillId="0" borderId="0" xfId="0" applyNumberFormat="1" applyBorder="1" applyAlignment="1">
      <alignment horizontal="center"/>
    </xf>
    <xf numFmtId="167" fontId="0" fillId="0" borderId="4" xfId="0" applyNumberFormat="1" applyBorder="1" applyAlignment="1">
      <alignment horizontal="center"/>
    </xf>
    <xf numFmtId="0" fontId="2" fillId="0" borderId="0" xfId="0" applyFont="1" applyBorder="1" applyAlignment="1">
      <alignment horizontal="centerContinuous"/>
    </xf>
    <xf numFmtId="0" fontId="2" fillId="0" borderId="3" xfId="0" applyFont="1" applyBorder="1" applyAlignment="1">
      <alignment wrapText="1"/>
    </xf>
    <xf numFmtId="0" fontId="0" fillId="0" borderId="3" xfId="0" applyBorder="1" applyAlignment="1">
      <alignment wrapText="1"/>
    </xf>
    <xf numFmtId="168" fontId="0" fillId="0" borderId="0" xfId="1" applyNumberFormat="1" applyFont="1" applyAlignment="1">
      <alignment horizontal="center"/>
    </xf>
    <xf numFmtId="0" fontId="4" fillId="0" borderId="0" xfId="0" applyFont="1"/>
    <xf numFmtId="0" fontId="3" fillId="3" borderId="0" xfId="0" applyFont="1" applyFill="1" applyAlignment="1">
      <alignment horizontal="center"/>
    </xf>
    <xf numFmtId="165" fontId="3" fillId="3" borderId="0" xfId="0" applyNumberFormat="1" applyFont="1" applyFill="1" applyAlignment="1">
      <alignment horizontal="center"/>
    </xf>
    <xf numFmtId="165" fontId="3" fillId="3" borderId="0" xfId="0" applyNumberFormat="1" applyFont="1" applyFill="1"/>
    <xf numFmtId="164" fontId="3" fillId="3" borderId="0" xfId="0" applyNumberFormat="1" applyFont="1" applyFill="1" applyAlignment="1">
      <alignment horizontal="center"/>
    </xf>
    <xf numFmtId="164" fontId="3" fillId="3" borderId="0" xfId="0" applyNumberFormat="1" applyFont="1" applyFill="1"/>
    <xf numFmtId="0" fontId="2" fillId="0" borderId="0" xfId="0" applyFont="1" applyFill="1" applyAlignment="1">
      <alignment horizontal="center"/>
    </xf>
    <xf numFmtId="164" fontId="2" fillId="0" borderId="0" xfId="0" applyNumberFormat="1" applyFont="1" applyAlignment="1">
      <alignment horizontal="center"/>
    </xf>
    <xf numFmtId="167" fontId="0" fillId="5" borderId="0" xfId="0" applyNumberFormat="1" applyFill="1" applyAlignment="1">
      <alignment horizontal="center"/>
    </xf>
    <xf numFmtId="0" fontId="2" fillId="0" borderId="5" xfId="0" applyFont="1" applyFill="1" applyBorder="1" applyAlignment="1">
      <alignment wrapText="1"/>
    </xf>
    <xf numFmtId="168" fontId="0" fillId="0" borderId="10" xfId="1" applyNumberFormat="1" applyFont="1" applyBorder="1" applyAlignment="1">
      <alignment horizontal="center"/>
    </xf>
    <xf numFmtId="168" fontId="0" fillId="0" borderId="6" xfId="1" applyNumberFormat="1" applyFont="1" applyBorder="1" applyAlignment="1">
      <alignment horizontal="center"/>
    </xf>
    <xf numFmtId="10" fontId="3" fillId="3" borderId="0" xfId="0" applyNumberFormat="1" applyFont="1" applyFill="1" applyAlignment="1">
      <alignment horizontal="center"/>
    </xf>
    <xf numFmtId="10" fontId="5" fillId="0" borderId="0" xfId="0" applyNumberFormat="1" applyFont="1" applyFill="1"/>
    <xf numFmtId="0" fontId="8" fillId="0" borderId="0" xfId="0" applyFont="1"/>
    <xf numFmtId="0" fontId="3" fillId="0" borderId="0" xfId="0" applyFont="1"/>
    <xf numFmtId="0" fontId="5" fillId="0" borderId="0" xfId="0" applyFont="1"/>
    <xf numFmtId="0" fontId="0" fillId="0" borderId="0" xfId="0" applyAlignment="1">
      <alignment horizontal="left" indent="2"/>
    </xf>
    <xf numFmtId="0" fontId="0" fillId="0" borderId="0" xfId="0" applyAlignment="1">
      <alignment horizontal="left" indent="7"/>
    </xf>
    <xf numFmtId="167" fontId="0" fillId="0" borderId="0" xfId="0" applyNumberFormat="1" applyFill="1" applyBorder="1" applyAlignment="1">
      <alignment horizontal="center"/>
    </xf>
    <xf numFmtId="2" fontId="0" fillId="0" borderId="0" xfId="1" applyNumberFormat="1" applyFont="1"/>
    <xf numFmtId="0" fontId="2" fillId="0" borderId="0" xfId="0" applyFont="1" applyBorder="1" applyAlignment="1">
      <alignment horizontal="center"/>
    </xf>
    <xf numFmtId="0" fontId="7" fillId="5" borderId="0" xfId="0" applyFont="1" applyFill="1" applyAlignment="1">
      <alignment horizontal="center"/>
    </xf>
    <xf numFmtId="0" fontId="2" fillId="0" borderId="15" xfId="0" applyFont="1" applyBorder="1" applyAlignment="1">
      <alignment wrapText="1"/>
    </xf>
    <xf numFmtId="167" fontId="0" fillId="0" borderId="16" xfId="0" applyNumberFormat="1" applyBorder="1" applyAlignment="1">
      <alignment horizontal="center"/>
    </xf>
    <xf numFmtId="167" fontId="0" fillId="0" borderId="17" xfId="0" applyNumberFormat="1" applyBorder="1" applyAlignment="1">
      <alignment horizontal="center"/>
    </xf>
    <xf numFmtId="0" fontId="2" fillId="0" borderId="3" xfId="0" applyFont="1" applyBorder="1" applyAlignment="1">
      <alignment horizontal="center" wrapText="1"/>
    </xf>
    <xf numFmtId="167" fontId="0" fillId="0" borderId="4" xfId="0" applyNumberFormat="1" applyFill="1" applyBorder="1" applyAlignment="1">
      <alignment horizontal="center"/>
    </xf>
    <xf numFmtId="0" fontId="2" fillId="0" borderId="12" xfId="0" applyFont="1" applyBorder="1" applyAlignment="1">
      <alignment horizontal="centerContinuous"/>
    </xf>
    <xf numFmtId="0" fontId="2" fillId="0" borderId="2" xfId="0" applyFont="1" applyBorder="1" applyAlignment="1">
      <alignment horizontal="centerContinuous"/>
    </xf>
    <xf numFmtId="168" fontId="0" fillId="5" borderId="0" xfId="1" applyNumberFormat="1" applyFont="1" applyFill="1" applyAlignment="1">
      <alignment horizontal="center"/>
    </xf>
    <xf numFmtId="14" fontId="0" fillId="0" borderId="0" xfId="0" applyNumberFormat="1" applyFill="1" applyAlignment="1">
      <alignment horizontal="center"/>
    </xf>
    <xf numFmtId="9" fontId="0" fillId="5" borderId="0" xfId="1" applyFont="1" applyFill="1" applyAlignment="1">
      <alignment horizontal="center"/>
    </xf>
    <xf numFmtId="0" fontId="0" fillId="0" borderId="3" xfId="0" applyFont="1" applyBorder="1" applyAlignment="1">
      <alignment wrapText="1"/>
    </xf>
    <xf numFmtId="9" fontId="0" fillId="0" borderId="0" xfId="1" applyFont="1" applyFill="1"/>
    <xf numFmtId="0" fontId="2" fillId="0" borderId="0" xfId="0" applyFont="1" applyBorder="1" applyAlignment="1">
      <alignment horizontal="center"/>
    </xf>
    <xf numFmtId="0" fontId="2" fillId="0" borderId="4" xfId="0" applyFont="1" applyBorder="1" applyAlignment="1">
      <alignment horizontal="center"/>
    </xf>
    <xf numFmtId="0" fontId="0" fillId="0" borderId="0" xfId="0" applyBorder="1" applyAlignment="1">
      <alignment horizontal="center" wrapText="1"/>
    </xf>
    <xf numFmtId="0" fontId="2" fillId="0" borderId="0" xfId="0" applyFont="1" applyBorder="1" applyAlignment="1">
      <alignment horizontal="center" wrapText="1"/>
    </xf>
    <xf numFmtId="0" fontId="0" fillId="0" borderId="0" xfId="0" applyBorder="1" applyAlignment="1">
      <alignment wrapText="1"/>
    </xf>
    <xf numFmtId="0" fontId="0" fillId="0" borderId="0" xfId="0" applyFont="1" applyBorder="1" applyAlignment="1">
      <alignment horizontal="center"/>
    </xf>
    <xf numFmtId="0" fontId="0" fillId="0" borderId="0" xfId="0" applyFont="1" applyBorder="1"/>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wrapText="1"/>
    </xf>
    <xf numFmtId="164" fontId="0" fillId="0" borderId="22" xfId="0" applyNumberFormat="1" applyBorder="1" applyAlignment="1">
      <alignment horizontal="center"/>
    </xf>
    <xf numFmtId="0" fontId="0" fillId="0" borderId="21" xfId="0" applyFont="1" applyBorder="1" applyAlignment="1">
      <alignment horizontal="center"/>
    </xf>
    <xf numFmtId="0" fontId="0" fillId="0" borderId="22" xfId="0" applyFont="1" applyBorder="1" applyAlignment="1">
      <alignment horizontal="center"/>
    </xf>
    <xf numFmtId="164" fontId="0" fillId="0" borderId="23" xfId="0" applyNumberFormat="1" applyFont="1" applyBorder="1" applyAlignment="1">
      <alignment horizontal="center"/>
    </xf>
    <xf numFmtId="0" fontId="0" fillId="0" borderId="24" xfId="0" applyFont="1" applyBorder="1"/>
    <xf numFmtId="164" fontId="0" fillId="0" borderId="24" xfId="0" applyNumberFormat="1" applyFont="1" applyBorder="1" applyAlignment="1">
      <alignment horizontal="center"/>
    </xf>
    <xf numFmtId="0" fontId="0" fillId="0" borderId="25" xfId="0" applyFont="1" applyBorder="1"/>
    <xf numFmtId="0" fontId="2" fillId="0" borderId="26" xfId="0" applyFont="1" applyBorder="1" applyAlignment="1">
      <alignment horizontal="centerContinuous" wrapText="1"/>
    </xf>
    <xf numFmtId="0" fontId="2" fillId="0" borderId="27" xfId="0" applyFont="1" applyBorder="1"/>
    <xf numFmtId="0" fontId="0" fillId="0" borderId="27" xfId="0" applyBorder="1" applyAlignment="1">
      <alignment horizontal="left"/>
    </xf>
    <xf numFmtId="0" fontId="0" fillId="0" borderId="27" xfId="0" applyFont="1" applyBorder="1" applyAlignment="1">
      <alignment horizontal="left"/>
    </xf>
    <xf numFmtId="0" fontId="0" fillId="0" borderId="28" xfId="0" applyFont="1" applyBorder="1" applyAlignment="1">
      <alignment horizontal="left"/>
    </xf>
    <xf numFmtId="164" fontId="0" fillId="0" borderId="21" xfId="0" applyNumberFormat="1" applyBorder="1" applyAlignment="1">
      <alignment horizontal="center"/>
    </xf>
    <xf numFmtId="164" fontId="0" fillId="0" borderId="24" xfId="0" applyNumberFormat="1" applyFont="1" applyBorder="1"/>
    <xf numFmtId="0" fontId="2" fillId="6" borderId="1" xfId="0" applyFont="1" applyFill="1" applyBorder="1" applyAlignment="1">
      <alignment horizontal="centerContinuous" wrapText="1"/>
    </xf>
    <xf numFmtId="0" fontId="0" fillId="6" borderId="12" xfId="0" applyFill="1" applyBorder="1" applyAlignment="1">
      <alignment horizontal="centerContinuous"/>
    </xf>
    <xf numFmtId="0" fontId="0" fillId="6" borderId="2" xfId="0" applyFill="1" applyBorder="1" applyAlignment="1">
      <alignment horizontal="centerContinuous"/>
    </xf>
    <xf numFmtId="0" fontId="0" fillId="6" borderId="10" xfId="0" applyFill="1" applyBorder="1" applyAlignment="1">
      <alignment horizontal="centerContinuous"/>
    </xf>
    <xf numFmtId="0" fontId="0" fillId="6" borderId="6" xfId="0" applyFill="1" applyBorder="1" applyAlignment="1">
      <alignment horizontal="centerContinuous"/>
    </xf>
    <xf numFmtId="0" fontId="2" fillId="0" borderId="27" xfId="0" applyFont="1" applyBorder="1" applyAlignment="1">
      <alignment horizontal="centerContinuous" wrapText="1"/>
    </xf>
    <xf numFmtId="0" fontId="0" fillId="0" borderId="21" xfId="0" applyBorder="1" applyAlignment="1">
      <alignment horizontal="center" wrapText="1"/>
    </xf>
    <xf numFmtId="0" fontId="0" fillId="0" borderId="22" xfId="0" applyBorder="1" applyAlignment="1">
      <alignment horizontal="center" wrapText="1"/>
    </xf>
    <xf numFmtId="2" fontId="0" fillId="0" borderId="0" xfId="0" applyNumberFormat="1"/>
    <xf numFmtId="0" fontId="9" fillId="6" borderId="5" xfId="0" applyFont="1" applyFill="1" applyBorder="1" applyAlignment="1">
      <alignment horizontal="centerContinuous" wrapText="1"/>
    </xf>
    <xf numFmtId="0" fontId="9" fillId="0" borderId="0" xfId="0" applyFont="1"/>
    <xf numFmtId="0" fontId="2" fillId="7" borderId="0" xfId="0" applyFont="1" applyFill="1" applyAlignment="1">
      <alignment horizontal="center" wrapText="1"/>
    </xf>
    <xf numFmtId="164" fontId="0" fillId="7" borderId="21" xfId="0" applyNumberFormat="1" applyFill="1" applyBorder="1" applyAlignment="1">
      <alignment horizontal="center"/>
    </xf>
    <xf numFmtId="164" fontId="3" fillId="0" borderId="21" xfId="0" applyNumberFormat="1" applyFont="1" applyBorder="1" applyAlignment="1">
      <alignment horizontal="center"/>
    </xf>
    <xf numFmtId="0" fontId="0" fillId="0" borderId="0" xfId="0" applyFont="1" applyAlignment="1">
      <alignment horizontal="left" indent="7"/>
    </xf>
    <xf numFmtId="0" fontId="2" fillId="0" borderId="0" xfId="0" applyFont="1" applyBorder="1" applyAlignment="1">
      <alignment horizontal="center"/>
    </xf>
    <xf numFmtId="0" fontId="2" fillId="0" borderId="4" xfId="0" applyFont="1" applyBorder="1" applyAlignment="1">
      <alignment horizontal="center"/>
    </xf>
    <xf numFmtId="164" fontId="2" fillId="0" borderId="0" xfId="0" applyNumberFormat="1" applyFont="1" applyFill="1" applyAlignment="1">
      <alignment horizontal="center"/>
    </xf>
    <xf numFmtId="167" fontId="2" fillId="0" borderId="0" xfId="0" applyNumberFormat="1" applyFont="1" applyFill="1" applyAlignment="1">
      <alignment horizontal="center" wrapText="1"/>
    </xf>
    <xf numFmtId="167" fontId="0" fillId="0" borderId="0" xfId="0" applyNumberFormat="1" applyFill="1" applyAlignment="1">
      <alignment horizontal="center"/>
    </xf>
    <xf numFmtId="168" fontId="0" fillId="0" borderId="0" xfId="1" applyNumberFormat="1" applyFont="1" applyFill="1" applyAlignment="1">
      <alignment horizontal="center"/>
    </xf>
    <xf numFmtId="0" fontId="2" fillId="0" borderId="0" xfId="0" applyFont="1" applyFill="1" applyAlignment="1">
      <alignment horizontal="center" wrapText="1"/>
    </xf>
    <xf numFmtId="169" fontId="0" fillId="7" borderId="0" xfId="0" applyNumberFormat="1" applyFill="1" applyAlignment="1">
      <alignment horizontal="center"/>
    </xf>
    <xf numFmtId="1" fontId="0" fillId="7" borderId="0" xfId="0" applyNumberFormat="1" applyFill="1" applyAlignment="1">
      <alignment horizontal="center"/>
    </xf>
    <xf numFmtId="0" fontId="6" fillId="0" borderId="0" xfId="0" applyFont="1" applyAlignment="1">
      <alignment horizontal="center"/>
    </xf>
    <xf numFmtId="0" fontId="0" fillId="5" borderId="0" xfId="0" applyFill="1"/>
    <xf numFmtId="9" fontId="2" fillId="0" borderId="0" xfId="1" applyFont="1" applyFill="1" applyAlignment="1">
      <alignment horizontal="center" wrapText="1"/>
    </xf>
    <xf numFmtId="164" fontId="2" fillId="0" borderId="0" xfId="0" applyNumberFormat="1" applyFont="1" applyFill="1" applyAlignment="1">
      <alignment horizontal="center" wrapText="1"/>
    </xf>
    <xf numFmtId="0" fontId="9" fillId="0" borderId="1" xfId="0" applyFont="1" applyBorder="1" applyAlignment="1">
      <alignment horizontal="center" wrapText="1"/>
    </xf>
    <xf numFmtId="167" fontId="9" fillId="0" borderId="12" xfId="0" applyNumberFormat="1" applyFont="1" applyFill="1" applyBorder="1" applyAlignment="1">
      <alignment horizontal="center"/>
    </xf>
    <xf numFmtId="14" fontId="0" fillId="0" borderId="0" xfId="0" applyNumberFormat="1"/>
    <xf numFmtId="0" fontId="0" fillId="0" borderId="21" xfId="0" applyBorder="1" applyAlignment="1">
      <alignment horizontal="center"/>
    </xf>
    <xf numFmtId="0" fontId="0" fillId="0" borderId="0" xfId="0" applyFont="1" applyAlignment="1">
      <alignment horizontal="left" vertical="center"/>
    </xf>
    <xf numFmtId="0" fontId="0" fillId="0" borderId="0" xfId="0" applyFont="1" applyAlignment="1">
      <alignment vertical="center"/>
    </xf>
    <xf numFmtId="0" fontId="2" fillId="0" borderId="0" xfId="0" applyFont="1" applyBorder="1" applyAlignment="1">
      <alignment horizontal="center"/>
    </xf>
    <xf numFmtId="0" fontId="2" fillId="0" borderId="8" xfId="0" applyFont="1" applyBorder="1" applyAlignment="1">
      <alignment horizontal="center"/>
    </xf>
    <xf numFmtId="0" fontId="3" fillId="3" borderId="0" xfId="1" applyNumberFormat="1" applyFont="1" applyFill="1" applyAlignment="1">
      <alignment horizontal="center"/>
    </xf>
    <xf numFmtId="0" fontId="0" fillId="0" borderId="3" xfId="1" applyNumberFormat="1" applyFont="1" applyBorder="1" applyAlignment="1">
      <alignment horizontal="center"/>
    </xf>
    <xf numFmtId="0" fontId="5" fillId="0" borderId="0" xfId="1" applyNumberFormat="1" applyFont="1" applyFill="1" applyAlignment="1">
      <alignment horizontal="center"/>
    </xf>
    <xf numFmtId="164" fontId="0" fillId="0" borderId="0" xfId="0" applyNumberFormat="1" applyFont="1" applyBorder="1" applyAlignment="1">
      <alignment horizontal="center"/>
    </xf>
    <xf numFmtId="164" fontId="2" fillId="0" borderId="10" xfId="0" applyNumberFormat="1" applyFont="1" applyBorder="1" applyAlignment="1">
      <alignment horizontal="center"/>
    </xf>
    <xf numFmtId="0" fontId="0" fillId="0" borderId="4" xfId="0" applyFill="1" applyBorder="1" applyAlignment="1">
      <alignment horizontal="center"/>
    </xf>
    <xf numFmtId="170" fontId="0" fillId="3" borderId="0" xfId="2" applyNumberFormat="1" applyFont="1" applyFill="1"/>
    <xf numFmtId="44" fontId="3" fillId="3" borderId="0" xfId="3" applyFont="1" applyFill="1" applyAlignment="1">
      <alignment horizontal="center"/>
    </xf>
    <xf numFmtId="40" fontId="3" fillId="8" borderId="0" xfId="1" applyNumberFormat="1" applyFont="1" applyFill="1" applyAlignment="1">
      <alignment horizontal="center"/>
    </xf>
    <xf numFmtId="6" fontId="0" fillId="3" borderId="0" xfId="0" applyNumberFormat="1" applyFill="1" applyAlignment="1">
      <alignment horizontal="center"/>
    </xf>
    <xf numFmtId="168" fontId="5" fillId="0" borderId="0" xfId="0" applyNumberFormat="1" applyFont="1" applyFill="1"/>
    <xf numFmtId="171" fontId="0" fillId="0" borderId="4" xfId="0" applyNumberFormat="1" applyBorder="1" applyAlignment="1">
      <alignment horizontal="center"/>
    </xf>
    <xf numFmtId="171" fontId="2" fillId="0" borderId="4" xfId="0" applyNumberFormat="1" applyFont="1" applyBorder="1" applyAlignment="1">
      <alignment horizontal="center"/>
    </xf>
    <xf numFmtId="10" fontId="2" fillId="0" borderId="0" xfId="1" applyNumberFormat="1" applyFont="1" applyBorder="1" applyAlignment="1">
      <alignment horizontal="center"/>
    </xf>
    <xf numFmtId="172" fontId="0" fillId="0" borderId="3" xfId="1" applyNumberFormat="1" applyFont="1" applyBorder="1" applyAlignment="1">
      <alignment horizontal="center"/>
    </xf>
    <xf numFmtId="164" fontId="0" fillId="0" borderId="0" xfId="0" applyNumberFormat="1" applyBorder="1"/>
    <xf numFmtId="2" fontId="5" fillId="0" borderId="0" xfId="1" applyNumberFormat="1" applyFont="1" applyFill="1" applyAlignment="1">
      <alignment horizontal="center"/>
    </xf>
    <xf numFmtId="2" fontId="3" fillId="3" borderId="0" xfId="1" applyNumberFormat="1" applyFont="1" applyFill="1" applyAlignment="1">
      <alignment horizontal="center"/>
    </xf>
    <xf numFmtId="165" fontId="0" fillId="0" borderId="4" xfId="0" applyNumberFormat="1" applyFont="1" applyBorder="1" applyAlignment="1">
      <alignment horizontal="center"/>
    </xf>
    <xf numFmtId="165" fontId="0" fillId="0" borderId="4" xfId="0" applyNumberFormat="1" applyBorder="1"/>
    <xf numFmtId="165" fontId="2" fillId="0" borderId="4" xfId="0" applyNumberFormat="1" applyFont="1" applyBorder="1" applyAlignment="1">
      <alignment horizontal="center"/>
    </xf>
    <xf numFmtId="165" fontId="0" fillId="0" borderId="4" xfId="0" applyNumberFormat="1" applyBorder="1" applyAlignment="1">
      <alignment horizontal="center"/>
    </xf>
    <xf numFmtId="0" fontId="0" fillId="0" borderId="0" xfId="0"/>
    <xf numFmtId="0" fontId="0" fillId="0" borderId="0" xfId="0" applyAlignment="1">
      <alignment horizontal="center"/>
    </xf>
    <xf numFmtId="6" fontId="0" fillId="0" borderId="24" xfId="0" quotePrefix="1" applyNumberFormat="1" applyBorder="1" applyAlignment="1">
      <alignment horizontal="center"/>
    </xf>
    <xf numFmtId="0" fontId="0" fillId="0" borderId="0" xfId="0" applyAlignment="1">
      <alignment vertical="center"/>
    </xf>
    <xf numFmtId="5" fontId="0" fillId="0" borderId="0" xfId="0" applyNumberFormat="1"/>
    <xf numFmtId="0" fontId="0" fillId="0" borderId="0" xfId="0" applyAlignment="1">
      <alignment horizontal="right" vertical="center"/>
    </xf>
    <xf numFmtId="0" fontId="0" fillId="9" borderId="0" xfId="0" applyFill="1" applyAlignment="1">
      <alignment horizontal="right"/>
    </xf>
    <xf numFmtId="0" fontId="0" fillId="9" borderId="0" xfId="0" applyFill="1"/>
    <xf numFmtId="5" fontId="0" fillId="9" borderId="0" xfId="0" applyNumberFormat="1" applyFill="1"/>
    <xf numFmtId="0" fontId="0" fillId="9" borderId="0" xfId="0" applyFill="1" applyAlignment="1">
      <alignment horizontal="right" vertical="center"/>
    </xf>
    <xf numFmtId="0" fontId="0" fillId="0" borderId="0" xfId="0" applyAlignment="1">
      <alignment horizontal="left" vertical="center"/>
    </xf>
    <xf numFmtId="0" fontId="0" fillId="0" borderId="0" xfId="0" applyAlignment="1">
      <alignment horizontal="right"/>
    </xf>
    <xf numFmtId="0" fontId="2" fillId="0" borderId="0" xfId="0" applyFont="1" applyBorder="1" applyAlignment="1">
      <alignment horizontal="center"/>
    </xf>
    <xf numFmtId="0" fontId="2" fillId="0" borderId="4" xfId="0" applyFont="1" applyBorder="1" applyAlignment="1">
      <alignment horizontal="center"/>
    </xf>
    <xf numFmtId="0" fontId="4"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cellXfs>
  <cellStyles count="4">
    <cellStyle name="Comma" xfId="2" builtinId="3"/>
    <cellStyle name="Currency" xfId="3" builtinId="4"/>
    <cellStyle name="Normal" xfId="0" builtinId="0"/>
    <cellStyle name="Percent" xfId="1" builtinId="5"/>
  </cellStyles>
  <dxfs count="77">
    <dxf>
      <numFmt numFmtId="171" formatCode="&quot;$&quot;#,##0.000"/>
    </dxf>
    <dxf>
      <numFmt numFmtId="166" formatCode="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66" formatCode="0.000%"/>
    </dxf>
    <dxf>
      <numFmt numFmtId="171" formatCode="&quot;$&quot;#,##0.000"/>
    </dxf>
    <dxf>
      <numFmt numFmtId="171" formatCode="&quot;$&quot;#,##0.000"/>
    </dxf>
    <dxf>
      <numFmt numFmtId="166" formatCode="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66" formatCode="0.000%"/>
    </dxf>
    <dxf>
      <numFmt numFmtId="166" formatCode="0.000%"/>
    </dxf>
    <dxf>
      <numFmt numFmtId="171" formatCode="&quot;$&quot;#,##0.000"/>
    </dxf>
    <dxf>
      <numFmt numFmtId="166" formatCode="0.000%"/>
    </dxf>
    <dxf>
      <numFmt numFmtId="166" formatCode="0.000%"/>
    </dxf>
    <dxf>
      <numFmt numFmtId="171" formatCode="&quot;$&quot;#,##0.000"/>
    </dxf>
    <dxf>
      <numFmt numFmtId="166" formatCode="0.000%"/>
    </dxf>
    <dxf>
      <numFmt numFmtId="171" formatCode="&quot;$&quot;#,##0.000"/>
    </dxf>
    <dxf>
      <numFmt numFmtId="166" formatCode="0.000%"/>
    </dxf>
    <dxf>
      <numFmt numFmtId="166" formatCode="0.000%"/>
    </dxf>
    <dxf>
      <numFmt numFmtId="166" formatCode="0.000%"/>
    </dxf>
    <dxf>
      <numFmt numFmtId="166" formatCode="0.0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VLET/556%202021%20Rate%20Increase/ADV556%20v3%20with%20slipshe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VLET/58X%202023%20Escalation%20Increase/ADV58X%20-%202023%20Esca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VLET/586%202023%20Escalation%20Increase/ADV586%20-%202023%20Esca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JV1\2022\JV1--Dec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ADVLET\556%202021%20Rate%20Increase\ADV556%20v3%20with%20slip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C-1 Ratebase"/>
      <sheetName val="Att. C-2 Rev Calc "/>
      <sheetName val="Att. C-3 Tax Calc"/>
      <sheetName val="Att.C- 4 Rate Calc"/>
      <sheetName val="Att. C - 5 Tiered Rates"/>
      <sheetName val="Att. E - Bill Compare"/>
      <sheetName val="Customer Growth 2020"/>
      <sheetName val="Customer Growth 2021"/>
      <sheetName val="Table E Update"/>
      <sheetName val="Sheet1"/>
    </sheetNames>
    <sheetDataSet>
      <sheetData sheetId="0" refreshError="1"/>
      <sheetData sheetId="1" refreshError="1">
        <row r="13">
          <cell r="AB13">
            <v>397184.68599999999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 SOE Detail "/>
      <sheetName val="2-Adopted Factors"/>
      <sheetName val="5 - Rate Calc"/>
      <sheetName val="6 -Tiered Rates"/>
      <sheetName val="7- Bill Compare"/>
    </sheetNames>
    <sheetDataSet>
      <sheetData sheetId="0">
        <row r="13">
          <cell r="B13">
            <v>439247.53899999999</v>
          </cell>
          <cell r="H13">
            <v>463811.33081704646</v>
          </cell>
        </row>
        <row r="15">
          <cell r="H15">
            <v>1500</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OE Detail "/>
      <sheetName val="2-Escalation Rate"/>
      <sheetName val="3-2023 Supply Cost"/>
      <sheetName val="4-Plant Related Items"/>
      <sheetName val="5-Taxes"/>
      <sheetName val="6-Adopted Customer&amp;Sales"/>
      <sheetName val="7 - Rate Calc"/>
      <sheetName val="8 -Tiered Rates Calc"/>
      <sheetName val="7- Bill Compare"/>
    </sheetNames>
    <sheetDataSet>
      <sheetData sheetId="0">
        <row r="13">
          <cell r="S13">
            <v>482261</v>
          </cell>
        </row>
        <row r="15">
          <cell r="S15">
            <v>1500</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JWC"/>
      <sheetName val="Cupertino"/>
      <sheetName val="Rev Support"/>
      <sheetName val="Sheet3"/>
      <sheetName val="Sheet4"/>
      <sheetName val="Sheet5"/>
      <sheetName val="Sheet6"/>
      <sheetName val="Sheet7"/>
      <sheetName val="Sheet8"/>
      <sheetName val="Sheet9"/>
      <sheetName val="Sheet10"/>
      <sheetName val="Sheet11"/>
      <sheetName val="Sheet12"/>
      <sheetName val="Sheet13"/>
      <sheetName val="Sheet14"/>
      <sheetName val="Import"/>
      <sheetName val="BilledCust"/>
      <sheetName val="Residential Usage Adjustment"/>
      <sheetName val="Count Reasonableness Test"/>
      <sheetName val="Courtesy Adjustments"/>
      <sheetName val="Cup_unbilled"/>
      <sheetName val="Cycles"/>
      <sheetName val="Sheet1"/>
    </sheetNames>
    <sheetDataSet>
      <sheetData sheetId="0">
        <row r="11">
          <cell r="D11">
            <v>195050</v>
          </cell>
        </row>
        <row r="35">
          <cell r="D35">
            <v>223247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C-1 Ratebase"/>
      <sheetName val="Att. C-2 Rev Calc "/>
      <sheetName val="Att. C-3 Tax Calc"/>
      <sheetName val="Att.C- 4 Rate Calc"/>
      <sheetName val="Att. C - 5 Tiered Rates"/>
      <sheetName val="Att. E - Bill Compare"/>
      <sheetName val="Customer Growth 2020"/>
      <sheetName val="Customer Growth 2021"/>
      <sheetName val="Table E Update"/>
      <sheetName val="Sheet1"/>
    </sheetNames>
    <sheetDataSet>
      <sheetData sheetId="0"/>
      <sheetData sheetId="1">
        <row r="15">
          <cell r="AB15">
            <v>882</v>
          </cell>
        </row>
      </sheetData>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Ho, Jeremy" id="{058476F1-F68E-4211-8520-930FB48175F7}" userId="Ho, Jeremy"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6" dT="2022-07-12T18:41:45.93" personId="{058476F1-F68E-4211-8520-930FB48175F7}" id="{4795B997-0CFC-42EE-9A8F-84AEF75B12DF}">
    <text>Brought "Type of Change next to Surcharge Type</text>
  </threadedComment>
  <threadedComment ref="C46" dT="2022-07-12T18:42:26.95" personId="{058476F1-F68E-4211-8520-930FB48175F7}" id="{58A25B7B-BDB5-4B13-82B6-E32DA5277410}">
    <text>Conditionally formatted cells to automatically display % or current depending on "Type of Charge"</text>
  </threadedComment>
</ThreadedComments>
</file>

<file path=xl/threadedComments/threadedComment2.xml><?xml version="1.0" encoding="utf-8"?>
<ThreadedComments xmlns="http://schemas.microsoft.com/office/spreadsheetml/2018/threadedcomments" xmlns:x="http://schemas.openxmlformats.org/spreadsheetml/2006/main">
  <threadedComment ref="B25" dT="2022-07-11T23:52:14.08" personId="{058476F1-F68E-4211-8520-930FB48175F7}" id="{5EB4B72E-02CD-46B6-A835-8DA716E9097C}">
    <text>Look up input value using non-CAP customers
Conditionally format based on Type of Surcharge</text>
  </threadedComment>
  <threadedComment ref="C25" dT="2022-07-11T23:52:33.67" personId="{058476F1-F68E-4211-8520-930FB48175F7}" id="{C8161740-81D7-43CA-A868-63A5CE27CB46}">
    <text>Lookup %, Fixed, usage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view="pageBreakPreview" topLeftCell="A13" zoomScale="115" zoomScaleNormal="100" zoomScaleSheetLayoutView="115" workbookViewId="0">
      <selection activeCell="E40" sqref="E40"/>
    </sheetView>
  </sheetViews>
  <sheetFormatPr defaultRowHeight="14.4" x14ac:dyDescent="0.55000000000000004"/>
  <cols>
    <col min="1" max="1" width="15" customWidth="1"/>
    <col min="9" max="9" width="9.15625" customWidth="1"/>
  </cols>
  <sheetData>
    <row r="1" spans="1:1" x14ac:dyDescent="0.55000000000000004">
      <c r="A1" s="89" t="s">
        <v>94</v>
      </c>
    </row>
    <row r="3" spans="1:1" x14ac:dyDescent="0.55000000000000004">
      <c r="A3" s="89" t="s">
        <v>95</v>
      </c>
    </row>
    <row r="4" spans="1:1" x14ac:dyDescent="0.55000000000000004">
      <c r="A4" s="48" t="s">
        <v>93</v>
      </c>
    </row>
    <row r="5" spans="1:1" x14ac:dyDescent="0.55000000000000004">
      <c r="A5" s="90" t="s">
        <v>96</v>
      </c>
    </row>
    <row r="6" spans="1:1" x14ac:dyDescent="0.55000000000000004">
      <c r="A6" s="91" t="s">
        <v>101</v>
      </c>
    </row>
    <row r="8" spans="1:1" x14ac:dyDescent="0.55000000000000004">
      <c r="A8" s="89" t="s">
        <v>97</v>
      </c>
    </row>
    <row r="9" spans="1:1" x14ac:dyDescent="0.55000000000000004">
      <c r="A9" s="1" t="s">
        <v>98</v>
      </c>
    </row>
    <row r="10" spans="1:1" x14ac:dyDescent="0.55000000000000004">
      <c r="A10" s="92" t="s">
        <v>99</v>
      </c>
    </row>
    <row r="11" spans="1:1" x14ac:dyDescent="0.55000000000000004">
      <c r="A11" s="92" t="s">
        <v>111</v>
      </c>
    </row>
    <row r="12" spans="1:1" x14ac:dyDescent="0.55000000000000004">
      <c r="A12" s="92" t="s">
        <v>112</v>
      </c>
    </row>
    <row r="13" spans="1:1" x14ac:dyDescent="0.55000000000000004">
      <c r="A13" s="92" t="s">
        <v>113</v>
      </c>
    </row>
    <row r="14" spans="1:1" x14ac:dyDescent="0.55000000000000004">
      <c r="A14" s="92" t="s">
        <v>112</v>
      </c>
    </row>
    <row r="15" spans="1:1" x14ac:dyDescent="0.55000000000000004">
      <c r="A15" s="92" t="s">
        <v>114</v>
      </c>
    </row>
    <row r="16" spans="1:1" x14ac:dyDescent="0.55000000000000004">
      <c r="A16" s="92" t="s">
        <v>115</v>
      </c>
    </row>
    <row r="17" spans="1:1" x14ac:dyDescent="0.55000000000000004">
      <c r="A17" s="92" t="s">
        <v>116</v>
      </c>
    </row>
    <row r="18" spans="1:1" x14ac:dyDescent="0.55000000000000004">
      <c r="A18" s="92" t="s">
        <v>117</v>
      </c>
    </row>
    <row r="19" spans="1:1" x14ac:dyDescent="0.55000000000000004">
      <c r="A19" s="92" t="s">
        <v>118</v>
      </c>
    </row>
    <row r="20" spans="1:1" x14ac:dyDescent="0.55000000000000004">
      <c r="A20" s="92" t="s">
        <v>119</v>
      </c>
    </row>
    <row r="21" spans="1:1" x14ac:dyDescent="0.55000000000000004">
      <c r="A21" s="92" t="s">
        <v>120</v>
      </c>
    </row>
    <row r="22" spans="1:1" x14ac:dyDescent="0.55000000000000004">
      <c r="A22" s="92" t="s">
        <v>121</v>
      </c>
    </row>
    <row r="23" spans="1:1" x14ac:dyDescent="0.55000000000000004">
      <c r="A23" s="92" t="s">
        <v>152</v>
      </c>
    </row>
    <row r="24" spans="1:1" x14ac:dyDescent="0.55000000000000004">
      <c r="A24" s="92" t="s">
        <v>153</v>
      </c>
    </row>
    <row r="26" spans="1:1" x14ac:dyDescent="0.55000000000000004">
      <c r="A26" s="8" t="s">
        <v>108</v>
      </c>
    </row>
    <row r="27" spans="1:1" x14ac:dyDescent="0.55000000000000004">
      <c r="A27" s="92" t="s">
        <v>150</v>
      </c>
    </row>
    <row r="28" spans="1:1" x14ac:dyDescent="0.55000000000000004">
      <c r="A28" s="92" t="s">
        <v>151</v>
      </c>
    </row>
    <row r="29" spans="1:1" x14ac:dyDescent="0.55000000000000004">
      <c r="A29" s="93" t="s">
        <v>122</v>
      </c>
    </row>
    <row r="30" spans="1:1" x14ac:dyDescent="0.55000000000000004">
      <c r="A30" s="93" t="s">
        <v>123</v>
      </c>
    </row>
    <row r="31" spans="1:1" x14ac:dyDescent="0.55000000000000004">
      <c r="A31" s="93" t="s">
        <v>124</v>
      </c>
    </row>
    <row r="32" spans="1:1" x14ac:dyDescent="0.55000000000000004">
      <c r="A32" s="93" t="s">
        <v>100</v>
      </c>
    </row>
    <row r="33" spans="1:1" x14ac:dyDescent="0.55000000000000004">
      <c r="A33" s="92" t="s">
        <v>102</v>
      </c>
    </row>
    <row r="34" spans="1:1" x14ac:dyDescent="0.55000000000000004">
      <c r="A34" s="93" t="s">
        <v>125</v>
      </c>
    </row>
    <row r="35" spans="1:1" x14ac:dyDescent="0.55000000000000004">
      <c r="A35" s="93" t="s">
        <v>126</v>
      </c>
    </row>
    <row r="36" spans="1:1" x14ac:dyDescent="0.55000000000000004">
      <c r="A36" s="93" t="s">
        <v>127</v>
      </c>
    </row>
    <row r="37" spans="1:1" x14ac:dyDescent="0.55000000000000004">
      <c r="A37" s="93" t="s">
        <v>128</v>
      </c>
    </row>
    <row r="38" spans="1:1" x14ac:dyDescent="0.55000000000000004">
      <c r="A38" s="93" t="s">
        <v>129</v>
      </c>
    </row>
    <row r="39" spans="1:1" x14ac:dyDescent="0.55000000000000004">
      <c r="A39" s="92" t="s">
        <v>149</v>
      </c>
    </row>
    <row r="40" spans="1:1" x14ac:dyDescent="0.55000000000000004">
      <c r="A40" s="92"/>
    </row>
    <row r="41" spans="1:1" x14ac:dyDescent="0.55000000000000004">
      <c r="A41" s="1" t="s">
        <v>103</v>
      </c>
    </row>
    <row r="42" spans="1:1" x14ac:dyDescent="0.55000000000000004">
      <c r="A42" s="150" t="s">
        <v>139</v>
      </c>
    </row>
    <row r="43" spans="1:1" x14ac:dyDescent="0.55000000000000004">
      <c r="A43" s="150" t="s">
        <v>140</v>
      </c>
    </row>
    <row r="44" spans="1:1" x14ac:dyDescent="0.55000000000000004">
      <c r="A44" s="150" t="s">
        <v>141</v>
      </c>
    </row>
    <row r="45" spans="1:1" x14ac:dyDescent="0.55000000000000004">
      <c r="A45" s="150" t="s">
        <v>142</v>
      </c>
    </row>
    <row r="46" spans="1:1" x14ac:dyDescent="0.55000000000000004">
      <c r="A46" s="150" t="s">
        <v>143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190" zoomScaleNormal="190" workbookViewId="0">
      <selection activeCell="A14" sqref="A14"/>
    </sheetView>
  </sheetViews>
  <sheetFormatPr defaultRowHeight="14.4" x14ac:dyDescent="0.55000000000000004"/>
  <cols>
    <col min="1" max="1" width="74.83984375" customWidth="1"/>
  </cols>
  <sheetData>
    <row r="1" spans="1:1" x14ac:dyDescent="0.55000000000000004">
      <c r="A1" s="168" t="s">
        <v>185</v>
      </c>
    </row>
    <row r="2" spans="1:1" x14ac:dyDescent="0.55000000000000004">
      <c r="A2" s="168" t="s">
        <v>191</v>
      </c>
    </row>
    <row r="3" spans="1:1" x14ac:dyDescent="0.55000000000000004">
      <c r="A3" s="169" t="s">
        <v>163</v>
      </c>
    </row>
    <row r="4" spans="1:1" x14ac:dyDescent="0.55000000000000004">
      <c r="A4" s="169" t="s">
        <v>164</v>
      </c>
    </row>
    <row r="5" spans="1:1" x14ac:dyDescent="0.55000000000000004">
      <c r="A5" s="169" t="s">
        <v>165</v>
      </c>
    </row>
    <row r="6" spans="1:1" x14ac:dyDescent="0.55000000000000004">
      <c r="A6" s="169" t="s">
        <v>184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160" zoomScaleNormal="160" workbookViewId="0">
      <selection activeCell="C20" sqref="C20"/>
    </sheetView>
  </sheetViews>
  <sheetFormatPr defaultRowHeight="14.4" x14ac:dyDescent="0.55000000000000004"/>
  <cols>
    <col min="1" max="1" width="11" bestFit="1" customWidth="1"/>
    <col min="2" max="2" width="23" customWidth="1"/>
    <col min="3" max="3" width="15.26171875" customWidth="1"/>
    <col min="4" max="4" width="83.41796875" customWidth="1"/>
  </cols>
  <sheetData>
    <row r="1" spans="1:4" x14ac:dyDescent="0.55000000000000004">
      <c r="A1" s="1" t="s">
        <v>157</v>
      </c>
      <c r="B1" s="1" t="s">
        <v>159</v>
      </c>
      <c r="C1" s="1" t="s">
        <v>160</v>
      </c>
      <c r="D1" s="1" t="s">
        <v>158</v>
      </c>
    </row>
    <row r="2" spans="1:4" x14ac:dyDescent="0.55000000000000004">
      <c r="A2" s="166">
        <v>44749</v>
      </c>
      <c r="B2" s="6" t="s">
        <v>176</v>
      </c>
      <c r="C2" s="6" t="s">
        <v>177</v>
      </c>
      <c r="D2" s="6" t="s">
        <v>178</v>
      </c>
    </row>
    <row r="3" spans="1:4" x14ac:dyDescent="0.55000000000000004">
      <c r="A3" s="166">
        <v>44749</v>
      </c>
      <c r="B3" t="s">
        <v>161</v>
      </c>
      <c r="C3" t="s">
        <v>162</v>
      </c>
      <c r="D3" t="s">
        <v>172</v>
      </c>
    </row>
    <row r="4" spans="1:4" x14ac:dyDescent="0.55000000000000004">
      <c r="A4" s="166">
        <v>44749</v>
      </c>
      <c r="B4" t="s">
        <v>161</v>
      </c>
      <c r="C4" t="s">
        <v>173</v>
      </c>
      <c r="D4" t="s">
        <v>179</v>
      </c>
    </row>
    <row r="5" spans="1:4" x14ac:dyDescent="0.55000000000000004">
      <c r="A5" s="166">
        <v>44749</v>
      </c>
      <c r="B5" t="s">
        <v>161</v>
      </c>
      <c r="C5" t="s">
        <v>174</v>
      </c>
      <c r="D5" t="s">
        <v>175</v>
      </c>
    </row>
    <row r="6" spans="1:4" x14ac:dyDescent="0.55000000000000004">
      <c r="A6" s="166">
        <v>44749</v>
      </c>
      <c r="B6" t="s">
        <v>166</v>
      </c>
      <c r="C6" t="s">
        <v>167</v>
      </c>
      <c r="D6" t="s">
        <v>168</v>
      </c>
    </row>
    <row r="7" spans="1:4" x14ac:dyDescent="0.55000000000000004">
      <c r="A7" s="166">
        <v>44749</v>
      </c>
      <c r="B7" t="s">
        <v>166</v>
      </c>
      <c r="C7" t="s">
        <v>29</v>
      </c>
      <c r="D7" t="s">
        <v>188</v>
      </c>
    </row>
    <row r="8" spans="1:4" x14ac:dyDescent="0.55000000000000004">
      <c r="A8" s="166">
        <v>44749</v>
      </c>
      <c r="B8" t="s">
        <v>166</v>
      </c>
      <c r="C8" t="s">
        <v>44</v>
      </c>
      <c r="D8" t="s">
        <v>189</v>
      </c>
    </row>
    <row r="9" spans="1:4" x14ac:dyDescent="0.55000000000000004">
      <c r="A9" s="166">
        <v>44813</v>
      </c>
      <c r="B9" t="s">
        <v>166</v>
      </c>
      <c r="C9" t="s">
        <v>217</v>
      </c>
      <c r="D9" t="s">
        <v>216</v>
      </c>
    </row>
    <row r="10" spans="1:4" x14ac:dyDescent="0.55000000000000004">
      <c r="A10" s="166">
        <v>44813</v>
      </c>
      <c r="B10" t="s">
        <v>161</v>
      </c>
      <c r="C10" t="s">
        <v>218</v>
      </c>
      <c r="D10" t="s">
        <v>219</v>
      </c>
    </row>
    <row r="11" spans="1:4" x14ac:dyDescent="0.55000000000000004">
      <c r="A11" s="166">
        <v>44852</v>
      </c>
      <c r="B11" t="s">
        <v>161</v>
      </c>
      <c r="C11" t="s">
        <v>253</v>
      </c>
      <c r="D11" t="s">
        <v>254</v>
      </c>
    </row>
    <row r="12" spans="1:4" x14ac:dyDescent="0.55000000000000004">
      <c r="A12" s="166">
        <v>44852</v>
      </c>
      <c r="B12" t="s">
        <v>255</v>
      </c>
      <c r="C12" t="s">
        <v>256</v>
      </c>
      <c r="D12" t="s">
        <v>257</v>
      </c>
    </row>
    <row r="13" spans="1:4" x14ac:dyDescent="0.55000000000000004">
      <c r="A13" s="166">
        <v>44852</v>
      </c>
      <c r="B13" t="s">
        <v>166</v>
      </c>
      <c r="C13" t="s">
        <v>258</v>
      </c>
      <c r="D13" t="s">
        <v>259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31"/>
  <sheetViews>
    <sheetView topLeftCell="A10" workbookViewId="0">
      <selection activeCell="Q30" sqref="Q30"/>
    </sheetView>
  </sheetViews>
  <sheetFormatPr defaultRowHeight="14.4" x14ac:dyDescent="0.55000000000000004"/>
  <cols>
    <col min="3" max="3" width="30.68359375" bestFit="1" customWidth="1"/>
    <col min="17" max="17" width="12.83984375" bestFit="1" customWidth="1"/>
  </cols>
  <sheetData>
    <row r="1" spans="1:18" x14ac:dyDescent="0.55000000000000004">
      <c r="A1" s="194" t="s">
        <v>261</v>
      </c>
      <c r="B1" s="194"/>
      <c r="C1" s="194"/>
      <c r="D1" s="194"/>
      <c r="E1" s="194"/>
      <c r="F1" s="194"/>
      <c r="G1" s="194"/>
      <c r="H1" s="194"/>
      <c r="I1" s="194"/>
      <c r="J1" s="194"/>
      <c r="K1" s="194"/>
      <c r="L1" s="194"/>
      <c r="M1" s="194"/>
      <c r="N1" s="194"/>
      <c r="O1" s="194"/>
      <c r="P1" s="194"/>
      <c r="Q1" s="195"/>
    </row>
    <row r="2" spans="1:18" x14ac:dyDescent="0.55000000000000004">
      <c r="A2" s="194"/>
      <c r="B2" s="194"/>
      <c r="C2" s="194"/>
      <c r="D2" s="194"/>
      <c r="E2" s="194"/>
      <c r="F2" s="194"/>
      <c r="G2" s="194"/>
      <c r="H2" s="194"/>
      <c r="I2" s="194"/>
      <c r="J2" s="194"/>
      <c r="K2" s="194"/>
      <c r="L2" s="194"/>
      <c r="M2" s="194"/>
      <c r="N2" s="194"/>
      <c r="O2" s="194"/>
      <c r="P2" s="194"/>
      <c r="Q2" s="195" t="s">
        <v>262</v>
      </c>
    </row>
    <row r="3" spans="1:18" x14ac:dyDescent="0.55000000000000004">
      <c r="A3" s="194"/>
      <c r="B3" s="194"/>
      <c r="C3" s="194"/>
      <c r="D3" s="194"/>
      <c r="E3" s="194"/>
      <c r="F3" s="194"/>
      <c r="G3" s="194"/>
      <c r="H3" s="194"/>
      <c r="I3" s="194"/>
      <c r="J3" s="194"/>
      <c r="K3" s="194"/>
      <c r="L3" s="194"/>
      <c r="M3" s="194"/>
      <c r="N3" s="194"/>
      <c r="O3" s="194"/>
      <c r="P3" s="194"/>
      <c r="Q3" s="195" t="s">
        <v>263</v>
      </c>
    </row>
    <row r="4" spans="1:18" x14ac:dyDescent="0.55000000000000004">
      <c r="A4" s="194"/>
      <c r="B4" s="194"/>
      <c r="C4" s="194"/>
      <c r="D4" s="194"/>
      <c r="E4" s="194"/>
      <c r="F4" s="194"/>
      <c r="G4" s="194"/>
      <c r="H4" s="194"/>
      <c r="I4" s="194"/>
      <c r="J4" s="194"/>
      <c r="K4" s="194"/>
      <c r="L4" s="194"/>
      <c r="M4" s="194"/>
      <c r="N4" s="194"/>
      <c r="O4" s="194"/>
      <c r="P4" s="194"/>
      <c r="Q4" s="196" t="s">
        <v>264</v>
      </c>
    </row>
    <row r="5" spans="1:18" x14ac:dyDescent="0.55000000000000004">
      <c r="A5" s="194">
        <v>1</v>
      </c>
      <c r="B5" s="197" t="s">
        <v>265</v>
      </c>
      <c r="C5" s="194"/>
      <c r="D5" s="194"/>
      <c r="E5" s="194"/>
      <c r="F5" s="194"/>
      <c r="G5" s="194"/>
      <c r="H5" s="194"/>
      <c r="I5" s="194"/>
      <c r="J5" s="194"/>
      <c r="K5" s="194"/>
      <c r="L5" s="194"/>
      <c r="M5" s="194"/>
      <c r="N5" s="194"/>
      <c r="O5" s="194"/>
      <c r="P5" s="194"/>
      <c r="Q5" s="198">
        <f>'Rev Req''t_yrs 1-3'!E11</f>
        <v>483761000</v>
      </c>
    </row>
    <row r="6" spans="1:18" x14ac:dyDescent="0.55000000000000004">
      <c r="A6" s="194"/>
      <c r="B6" s="199" t="s">
        <v>266</v>
      </c>
      <c r="C6" s="194" t="s">
        <v>267</v>
      </c>
      <c r="D6" s="194"/>
      <c r="E6" s="194"/>
      <c r="F6" s="194"/>
      <c r="G6" s="194"/>
      <c r="H6" s="194"/>
      <c r="I6" s="194"/>
      <c r="J6" s="194"/>
      <c r="K6" s="194"/>
      <c r="L6" s="194"/>
      <c r="M6" s="194"/>
      <c r="N6" s="194"/>
      <c r="O6" s="194"/>
      <c r="P6" s="194"/>
      <c r="Q6" s="198">
        <v>151059.26487811349</v>
      </c>
    </row>
    <row r="7" spans="1:18" x14ac:dyDescent="0.55000000000000004">
      <c r="A7" s="194"/>
      <c r="B7" s="199"/>
      <c r="C7" s="194"/>
      <c r="D7" s="194"/>
      <c r="E7" s="194"/>
      <c r="F7" s="194"/>
      <c r="G7" s="194"/>
      <c r="H7" s="194"/>
      <c r="I7" s="194"/>
      <c r="J7" s="194"/>
      <c r="K7" s="194"/>
      <c r="L7" s="194"/>
      <c r="M7" s="194"/>
      <c r="N7" s="194"/>
      <c r="O7" s="194"/>
      <c r="P7" s="194"/>
      <c r="Q7" s="198"/>
    </row>
    <row r="8" spans="1:18" x14ac:dyDescent="0.55000000000000004">
      <c r="A8" s="194">
        <v>2</v>
      </c>
      <c r="B8" s="197" t="s">
        <v>268</v>
      </c>
      <c r="C8" s="194"/>
      <c r="D8" s="194"/>
      <c r="E8" s="194"/>
      <c r="F8" s="194"/>
      <c r="G8" s="194"/>
      <c r="H8" s="194"/>
      <c r="I8" s="194"/>
      <c r="J8" s="194"/>
      <c r="K8" s="194"/>
      <c r="L8" s="194"/>
      <c r="M8" s="194"/>
      <c r="N8" s="194"/>
      <c r="O8" s="194"/>
      <c r="P8" s="194"/>
      <c r="Q8" s="194"/>
    </row>
    <row r="9" spans="1:18" x14ac:dyDescent="0.55000000000000004">
      <c r="A9" s="194"/>
      <c r="B9" s="200" t="s">
        <v>266</v>
      </c>
      <c r="C9" s="201" t="s">
        <v>281</v>
      </c>
      <c r="D9" s="201" t="s">
        <v>282</v>
      </c>
      <c r="E9" s="201"/>
      <c r="F9" s="201"/>
      <c r="G9" s="201"/>
      <c r="H9" s="201"/>
      <c r="I9" s="201"/>
      <c r="J9" s="201"/>
      <c r="K9" s="201"/>
      <c r="L9" s="201"/>
      <c r="M9" s="201"/>
      <c r="N9" s="201"/>
      <c r="O9" s="201"/>
      <c r="P9" s="201"/>
      <c r="Q9" s="202">
        <v>6417532</v>
      </c>
      <c r="R9" t="s">
        <v>283</v>
      </c>
    </row>
    <row r="10" spans="1:18" x14ac:dyDescent="0.55000000000000004">
      <c r="A10" s="194"/>
      <c r="B10" s="203" t="s">
        <v>269</v>
      </c>
      <c r="C10" s="201"/>
      <c r="D10" s="201"/>
      <c r="E10" s="201"/>
      <c r="F10" s="201"/>
      <c r="G10" s="201"/>
      <c r="H10" s="201"/>
      <c r="I10" s="201"/>
      <c r="J10" s="201"/>
      <c r="K10" s="201"/>
      <c r="L10" s="201"/>
      <c r="M10" s="201"/>
      <c r="N10" s="201"/>
      <c r="O10" s="201"/>
      <c r="P10" s="201"/>
      <c r="Q10" s="202"/>
    </row>
    <row r="11" spans="1:18" x14ac:dyDescent="0.55000000000000004">
      <c r="A11" s="194"/>
      <c r="B11" s="203" t="s">
        <v>270</v>
      </c>
      <c r="C11" s="201"/>
      <c r="D11" s="201"/>
      <c r="E11" s="201"/>
      <c r="F11" s="201"/>
      <c r="G11" s="201"/>
      <c r="H11" s="201"/>
      <c r="I11" s="201"/>
      <c r="J11" s="201"/>
      <c r="K11" s="201"/>
      <c r="L11" s="201"/>
      <c r="M11" s="201"/>
      <c r="N11" s="201"/>
      <c r="O11" s="201"/>
      <c r="P11" s="201"/>
      <c r="Q11" s="202"/>
    </row>
    <row r="12" spans="1:18" x14ac:dyDescent="0.55000000000000004">
      <c r="A12" s="194"/>
      <c r="B12" s="203" t="s">
        <v>271</v>
      </c>
      <c r="C12" s="201"/>
      <c r="D12" s="201"/>
      <c r="E12" s="201"/>
      <c r="F12" s="201"/>
      <c r="G12" s="201"/>
      <c r="H12" s="201"/>
      <c r="I12" s="201"/>
      <c r="J12" s="201"/>
      <c r="K12" s="201"/>
      <c r="L12" s="201"/>
      <c r="M12" s="201"/>
      <c r="N12" s="201"/>
      <c r="O12" s="201"/>
      <c r="P12" s="201"/>
      <c r="Q12" s="202"/>
    </row>
    <row r="13" spans="1:18" x14ac:dyDescent="0.55000000000000004">
      <c r="A13" s="194"/>
      <c r="B13" s="203" t="s">
        <v>272</v>
      </c>
      <c r="C13" s="201"/>
      <c r="D13" s="201"/>
      <c r="E13" s="201"/>
      <c r="F13" s="201"/>
      <c r="G13" s="201"/>
      <c r="H13" s="201"/>
      <c r="I13" s="201"/>
      <c r="J13" s="201"/>
      <c r="K13" s="201"/>
      <c r="L13" s="201"/>
      <c r="M13" s="201"/>
      <c r="N13" s="201"/>
      <c r="O13" s="201"/>
      <c r="P13" s="201"/>
      <c r="Q13" s="202"/>
    </row>
    <row r="14" spans="1:18" x14ac:dyDescent="0.55000000000000004">
      <c r="A14" s="194"/>
      <c r="B14" s="199" t="s">
        <v>273</v>
      </c>
      <c r="C14" s="194"/>
      <c r="D14" s="194"/>
      <c r="E14" s="194"/>
      <c r="F14" s="194"/>
      <c r="G14" s="194"/>
      <c r="H14" s="194"/>
      <c r="I14" s="194"/>
      <c r="J14" s="194"/>
      <c r="K14" s="194"/>
      <c r="L14" s="194"/>
      <c r="M14" s="194"/>
      <c r="N14" s="194"/>
      <c r="O14" s="194"/>
      <c r="P14" s="194"/>
      <c r="Q14" s="194"/>
    </row>
    <row r="16" spans="1:18" x14ac:dyDescent="0.55000000000000004">
      <c r="A16" s="194">
        <v>3</v>
      </c>
      <c r="B16" s="204" t="s">
        <v>274</v>
      </c>
      <c r="C16" s="194"/>
      <c r="D16" s="194"/>
      <c r="E16" s="194"/>
      <c r="F16" s="194"/>
      <c r="G16" s="194"/>
      <c r="H16" s="194"/>
      <c r="I16" s="194"/>
      <c r="J16" s="194"/>
      <c r="K16" s="194"/>
      <c r="L16" s="194"/>
      <c r="M16" s="194"/>
      <c r="N16" s="194"/>
      <c r="O16" s="194"/>
      <c r="P16" s="194"/>
      <c r="Q16" s="194"/>
    </row>
    <row r="17" spans="1:17" x14ac:dyDescent="0.55000000000000004">
      <c r="A17" s="194"/>
      <c r="B17" s="205" t="s">
        <v>266</v>
      </c>
      <c r="C17" s="194"/>
      <c r="D17" s="194"/>
      <c r="E17" s="194"/>
      <c r="F17" s="194"/>
      <c r="G17" s="194"/>
      <c r="H17" s="194"/>
      <c r="I17" s="194"/>
      <c r="J17" s="194"/>
      <c r="K17" s="194"/>
      <c r="L17" s="194"/>
      <c r="M17" s="194"/>
      <c r="N17" s="194"/>
      <c r="O17" s="194"/>
      <c r="P17" s="194"/>
      <c r="Q17" s="198"/>
    </row>
    <row r="18" spans="1:17" x14ac:dyDescent="0.55000000000000004">
      <c r="A18" s="194"/>
      <c r="B18" s="205" t="s">
        <v>269</v>
      </c>
      <c r="C18" s="194"/>
      <c r="D18" s="194"/>
      <c r="E18" s="194"/>
      <c r="F18" s="194"/>
      <c r="G18" s="194"/>
      <c r="H18" s="194"/>
      <c r="I18" s="194"/>
      <c r="J18" s="194"/>
      <c r="K18" s="194"/>
      <c r="L18" s="194"/>
      <c r="M18" s="194"/>
      <c r="N18" s="194"/>
      <c r="O18" s="194"/>
      <c r="P18" s="194"/>
      <c r="Q18" s="194"/>
    </row>
    <row r="20" spans="1:17" x14ac:dyDescent="0.55000000000000004">
      <c r="A20" s="194">
        <v>4</v>
      </c>
      <c r="B20" s="194" t="s">
        <v>275</v>
      </c>
      <c r="C20" s="194"/>
      <c r="D20" s="194"/>
      <c r="E20" s="194"/>
      <c r="F20" s="194"/>
      <c r="G20" s="194"/>
      <c r="H20" s="194"/>
      <c r="I20" s="194"/>
      <c r="J20" s="194"/>
      <c r="K20" s="194"/>
      <c r="L20" s="194"/>
      <c r="M20" s="194"/>
      <c r="N20" s="194"/>
      <c r="O20" s="194"/>
      <c r="P20" s="194"/>
      <c r="Q20" s="194"/>
    </row>
    <row r="21" spans="1:17" x14ac:dyDescent="0.55000000000000004">
      <c r="A21" s="194"/>
      <c r="B21" s="200" t="s">
        <v>266</v>
      </c>
      <c r="C21" s="201"/>
      <c r="D21" s="201"/>
      <c r="E21" s="201"/>
      <c r="F21" s="201"/>
      <c r="G21" s="201"/>
      <c r="H21" s="201"/>
      <c r="I21" s="201"/>
      <c r="J21" s="201"/>
      <c r="K21" s="201"/>
      <c r="L21" s="201"/>
      <c r="M21" s="201"/>
      <c r="N21" s="201"/>
      <c r="O21" s="201"/>
      <c r="P21" s="201"/>
      <c r="Q21" s="202"/>
    </row>
    <row r="22" spans="1:17" x14ac:dyDescent="0.55000000000000004">
      <c r="A22" s="194"/>
      <c r="B22" s="200" t="s">
        <v>269</v>
      </c>
      <c r="C22" s="201"/>
      <c r="D22" s="201"/>
      <c r="E22" s="201"/>
      <c r="F22" s="201"/>
      <c r="G22" s="201"/>
      <c r="H22" s="201"/>
      <c r="I22" s="201"/>
      <c r="J22" s="201"/>
      <c r="K22" s="201"/>
      <c r="L22" s="201"/>
      <c r="M22" s="201"/>
      <c r="N22" s="201"/>
      <c r="O22" s="201"/>
      <c r="P22" s="201"/>
      <c r="Q22" s="202"/>
    </row>
    <row r="23" spans="1:17" x14ac:dyDescent="0.55000000000000004">
      <c r="A23" s="194"/>
      <c r="B23" s="200" t="s">
        <v>270</v>
      </c>
      <c r="C23" s="201"/>
      <c r="D23" s="201"/>
      <c r="E23" s="201"/>
      <c r="F23" s="201"/>
      <c r="G23" s="201"/>
      <c r="H23" s="201"/>
      <c r="I23" s="201"/>
      <c r="J23" s="201"/>
      <c r="K23" s="201"/>
      <c r="L23" s="201"/>
      <c r="M23" s="201"/>
      <c r="N23" s="201"/>
      <c r="O23" s="201"/>
      <c r="P23" s="201"/>
      <c r="Q23" s="202"/>
    </row>
    <row r="24" spans="1:17" x14ac:dyDescent="0.55000000000000004">
      <c r="A24" s="194"/>
      <c r="B24" s="200" t="s">
        <v>271</v>
      </c>
      <c r="C24" s="201"/>
      <c r="D24" s="201"/>
      <c r="E24" s="201"/>
      <c r="F24" s="201"/>
      <c r="G24" s="201"/>
      <c r="H24" s="201"/>
      <c r="I24" s="201"/>
      <c r="J24" s="201"/>
      <c r="K24" s="201"/>
      <c r="L24" s="201"/>
      <c r="M24" s="201"/>
      <c r="N24" s="201"/>
      <c r="O24" s="201"/>
      <c r="P24" s="201"/>
      <c r="Q24" s="202"/>
    </row>
    <row r="25" spans="1:17" x14ac:dyDescent="0.55000000000000004">
      <c r="A25" s="194"/>
      <c r="B25" s="205" t="s">
        <v>272</v>
      </c>
      <c r="C25" s="194"/>
      <c r="D25" s="194"/>
      <c r="E25" s="194"/>
      <c r="F25" s="194"/>
      <c r="G25" s="194"/>
      <c r="H25" s="194"/>
      <c r="I25" s="194"/>
      <c r="J25" s="194"/>
      <c r="K25" s="194"/>
      <c r="L25" s="194"/>
      <c r="M25" s="194"/>
      <c r="N25" s="194"/>
      <c r="O25" s="194"/>
      <c r="P25" s="194"/>
      <c r="Q25" s="194"/>
    </row>
    <row r="27" spans="1:17" x14ac:dyDescent="0.55000000000000004">
      <c r="A27" s="194">
        <v>5</v>
      </c>
      <c r="B27" s="7" t="s">
        <v>276</v>
      </c>
      <c r="C27" s="194"/>
      <c r="D27" s="194"/>
      <c r="E27" s="194"/>
      <c r="F27" s="194"/>
      <c r="G27" s="194"/>
      <c r="H27" s="194"/>
      <c r="I27" s="194"/>
      <c r="J27" s="194"/>
      <c r="K27" s="194"/>
      <c r="L27" s="194"/>
      <c r="M27" s="194"/>
      <c r="N27" s="194"/>
      <c r="O27" s="194"/>
      <c r="P27" s="194"/>
      <c r="Q27" s="194"/>
    </row>
    <row r="28" spans="1:17" x14ac:dyDescent="0.55000000000000004">
      <c r="A28" s="194"/>
      <c r="B28" s="205" t="s">
        <v>266</v>
      </c>
      <c r="C28" s="205" t="s">
        <v>277</v>
      </c>
      <c r="D28" s="194"/>
      <c r="E28" s="194"/>
      <c r="F28" s="194"/>
      <c r="G28" s="194"/>
      <c r="H28" s="194"/>
      <c r="I28" s="194"/>
      <c r="J28" s="194"/>
      <c r="K28" s="194"/>
      <c r="L28" s="194"/>
      <c r="M28" s="194"/>
      <c r="N28" s="194"/>
      <c r="O28" s="194"/>
      <c r="P28" s="194"/>
      <c r="Q28" s="198">
        <f>'Rev Req''t_yrs 1-3'!E9</f>
        <v>465311330.81704646</v>
      </c>
    </row>
    <row r="29" spans="1:17" x14ac:dyDescent="0.55000000000000004">
      <c r="A29" s="194"/>
      <c r="B29" s="205" t="s">
        <v>269</v>
      </c>
      <c r="C29" s="205" t="s">
        <v>278</v>
      </c>
      <c r="D29" s="194"/>
      <c r="E29" s="194"/>
      <c r="F29" s="194"/>
      <c r="G29" s="194"/>
      <c r="H29" s="194"/>
      <c r="I29" s="194"/>
      <c r="J29" s="194"/>
      <c r="K29" s="194"/>
      <c r="L29" s="194"/>
      <c r="M29" s="194"/>
      <c r="N29" s="194"/>
      <c r="O29" s="194"/>
      <c r="P29" s="194"/>
      <c r="Q29" s="198">
        <f>'Rev Req''t_yrs 1-3'!E11</f>
        <v>483761000</v>
      </c>
    </row>
    <row r="30" spans="1:17" x14ac:dyDescent="0.55000000000000004">
      <c r="A30" s="194"/>
      <c r="B30" s="205" t="s">
        <v>270</v>
      </c>
      <c r="C30" s="205" t="s">
        <v>279</v>
      </c>
      <c r="D30" s="194"/>
      <c r="E30" s="194"/>
      <c r="F30" s="194"/>
      <c r="G30" s="194"/>
      <c r="H30" s="194"/>
      <c r="I30" s="194"/>
      <c r="J30" s="194"/>
      <c r="K30" s="194"/>
      <c r="L30" s="194"/>
      <c r="M30" s="194"/>
      <c r="N30" s="194"/>
      <c r="O30" s="194"/>
      <c r="P30" s="194"/>
      <c r="Q30" s="198">
        <f>'Rev Req''t_yrs 1-3'!E13</f>
        <v>499863000</v>
      </c>
    </row>
    <row r="31" spans="1:17" x14ac:dyDescent="0.55000000000000004">
      <c r="A31" s="194"/>
      <c r="B31" s="205" t="s">
        <v>271</v>
      </c>
      <c r="C31" s="205" t="s">
        <v>280</v>
      </c>
      <c r="D31" s="194"/>
      <c r="E31" s="194"/>
      <c r="F31" s="194"/>
      <c r="G31" s="194"/>
      <c r="H31" s="194"/>
      <c r="I31" s="194"/>
      <c r="J31" s="194"/>
      <c r="K31" s="194"/>
      <c r="L31" s="194"/>
      <c r="M31" s="194"/>
      <c r="N31" s="194"/>
      <c r="O31" s="194"/>
      <c r="P31" s="194"/>
      <c r="Q31" s="198" t="s">
        <v>82</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I40"/>
  <sheetViews>
    <sheetView zoomScale="115" zoomScaleNormal="115" workbookViewId="0">
      <selection activeCell="B32" sqref="B32:D32"/>
    </sheetView>
  </sheetViews>
  <sheetFormatPr defaultRowHeight="14.4" x14ac:dyDescent="0.55000000000000004"/>
  <cols>
    <col min="1" max="1" width="24.83984375" customWidth="1"/>
    <col min="2" max="2" width="16.26171875" customWidth="1"/>
    <col min="3" max="4" width="13.26171875" bestFit="1" customWidth="1"/>
    <col min="5" max="5" width="11" customWidth="1"/>
    <col min="6" max="6" width="20.68359375" customWidth="1"/>
    <col min="7" max="7" width="11.68359375" customWidth="1"/>
    <col min="8" max="9" width="11.83984375" customWidth="1"/>
    <col min="11" max="11" width="19.578125" bestFit="1" customWidth="1"/>
    <col min="12" max="14" width="11.68359375" customWidth="1"/>
    <col min="16" max="16" width="19.578125" bestFit="1" customWidth="1"/>
    <col min="17" max="19" width="11.68359375" customWidth="1"/>
  </cols>
  <sheetData>
    <row r="1" spans="1:6" x14ac:dyDescent="0.55000000000000004">
      <c r="A1" s="1" t="s">
        <v>0</v>
      </c>
    </row>
    <row r="2" spans="1:6" x14ac:dyDescent="0.55000000000000004">
      <c r="A2" s="1" t="str">
        <f>Input!A86</f>
        <v>San Jose Water Company</v>
      </c>
    </row>
    <row r="3" spans="1:6" x14ac:dyDescent="0.55000000000000004">
      <c r="A3" s="1"/>
    </row>
    <row r="4" spans="1:6" x14ac:dyDescent="0.55000000000000004">
      <c r="A4" s="1" t="s">
        <v>130</v>
      </c>
      <c r="B4" s="48" t="s">
        <v>40</v>
      </c>
      <c r="C4" t="s">
        <v>37</v>
      </c>
    </row>
    <row r="5" spans="1:6" x14ac:dyDescent="0.55000000000000004">
      <c r="A5" s="1" t="s">
        <v>131</v>
      </c>
      <c r="B5" s="48" t="s">
        <v>133</v>
      </c>
      <c r="C5" t="s">
        <v>37</v>
      </c>
    </row>
    <row r="6" spans="1:6" x14ac:dyDescent="0.55000000000000004">
      <c r="A6" s="1" t="s">
        <v>132</v>
      </c>
      <c r="B6" s="48" t="s">
        <v>226</v>
      </c>
      <c r="C6" t="s">
        <v>37</v>
      </c>
    </row>
    <row r="7" spans="1:6" x14ac:dyDescent="0.55000000000000004">
      <c r="A7" s="1"/>
    </row>
    <row r="8" spans="1:6" x14ac:dyDescent="0.55000000000000004">
      <c r="A8" s="75"/>
      <c r="B8" s="5" t="s">
        <v>50</v>
      </c>
      <c r="C8" s="5" t="s">
        <v>92</v>
      </c>
    </row>
    <row r="9" spans="1:6" x14ac:dyDescent="0.55000000000000004">
      <c r="A9" s="146" t="str">
        <f>CONCATENATE("Current Bill"," ",Input!$B$13)</f>
        <v>Current Bill January 2022</v>
      </c>
      <c r="B9" s="153" cm="1">
        <f t="array" ref="B9">SUMPRODUCT(($B$4='Calculator Data Summary'!$B$5:$AG$5)*($B$5='Calculator Data Summary'!$B$6:$AG$6)*($B$6='Calculator Data Summary'!$B$4:$AG$4)*("Current"='Calculator Data Summary'!$B$7:$AG$7)*(A9='Calculator Data Summary'!$A$8:$A$21)*'Calculator Data Summary'!$B$8:$AG$21)</f>
        <v>104.51</v>
      </c>
      <c r="C9" s="82">
        <f>B9*12</f>
        <v>1254.1200000000001</v>
      </c>
    </row>
    <row r="10" spans="1:6" ht="14.7" thickBot="1" x14ac:dyDescent="0.6">
      <c r="A10" s="1" t="s">
        <v>7</v>
      </c>
      <c r="B10" s="81">
        <f>SUMPRODUCT(($B$4='Calculator Data Summary'!$B$5:$AG$5)*($B$5='Calculator Data Summary'!$B$6:$AG$6)*($B$6='Calculator Data Summary'!$B$4:$AG$4)*(B$13='Calculator Data Summary'!$B$7:$AG$7)*("Usage"='Calculator Data Summary'!$A$8:$A$21)*'Calculator Data Summary'!$B$8:$AG$21)</f>
        <v>11</v>
      </c>
      <c r="C10" s="81">
        <f>SUMPRODUCT(($B$4='Calculator Data Summary'!$B$5:$AG$5)*($B$5='Calculator Data Summary'!$B$6:$AG$6)*($B$6='Calculator Data Summary'!$B$4:$AG$4)*(C$13='Calculator Data Summary'!$B$7:$AG$7)*("Usage"='Calculator Data Summary'!$A$8:$A$21)*'Calculator Data Summary'!$B$8:$AG$21)</f>
        <v>11</v>
      </c>
      <c r="D10" s="81">
        <f>SUMPRODUCT(($B$4='Calculator Data Summary'!$B$5:$AG$5)*($B$5='Calculator Data Summary'!$B$6:$AG$6)*($B$6='Calculator Data Summary'!$B$4:$AG$4)*(D$13='Calculator Data Summary'!$B$7:$AG$7)*("Usage"='Calculator Data Summary'!$A$8:$A$21)*'Calculator Data Summary'!$B$8:$AG$21)</f>
        <v>11</v>
      </c>
    </row>
    <row r="11" spans="1:6" x14ac:dyDescent="0.55000000000000004">
      <c r="A11" s="136" t="str">
        <f>CONCATENATE(B6," ",B5)</f>
        <v>Average (11 CCFS) Non-CAP</v>
      </c>
      <c r="B11" s="137"/>
      <c r="C11" s="137"/>
      <c r="D11" s="138"/>
    </row>
    <row r="12" spans="1:6" ht="14.7" thickBot="1" x14ac:dyDescent="0.6">
      <c r="A12" s="145" t="str">
        <f>IF(B4="Base Bill","Service Charge + Quantity Rates","Fully Loaded = Base Bill + Surcharges + CPUC Fee")</f>
        <v>Fully Loaded = Base Bill + Surcharges + CPUC Fee</v>
      </c>
      <c r="B12" s="139"/>
      <c r="C12" s="139"/>
      <c r="D12" s="140"/>
    </row>
    <row r="13" spans="1:6" x14ac:dyDescent="0.55000000000000004">
      <c r="A13" s="11" t="s">
        <v>86</v>
      </c>
      <c r="B13" s="58">
        <f>Input!B9</f>
        <v>2022</v>
      </c>
      <c r="C13" s="58">
        <f>Input!B10</f>
        <v>2023</v>
      </c>
      <c r="D13" s="59">
        <f>Input!B11</f>
        <v>2024</v>
      </c>
    </row>
    <row r="14" spans="1:6" x14ac:dyDescent="0.55000000000000004">
      <c r="A14" s="60" t="s">
        <v>52</v>
      </c>
      <c r="B14" s="30">
        <f>SUMPRODUCT(($B$4='Calculator Data Summary'!$B$5:$AG$5)*($B$5='Calculator Data Summary'!$B$6:$AG$6)*($B$6='Calculator Data Summary'!$B$4:$AG$4)*(B$13='Calculator Data Summary'!$B$7:$AG$7)*($A14='Calculator Data Summary'!$A$8:$A$19)*'Calculator Data Summary'!$B$8:$AG$19)</f>
        <v>104.51</v>
      </c>
      <c r="C14" s="30">
        <f>SUMPRODUCT(($B$4='Calculator Data Summary'!$B$5:$AG$5)*($B$5='Calculator Data Summary'!$B$6:$AG$6)*($B$6='Calculator Data Summary'!$B$4:$AG$4)*(C$13='Calculator Data Summary'!$B$7:$AG$7)*($A14='Calculator Data Summary'!$A$8:$A$19)*'Calculator Data Summary'!$B$8:$AG$19)</f>
        <v>120.7</v>
      </c>
      <c r="D14" s="25">
        <f>SUMPRODUCT(($B$4='Calculator Data Summary'!$B$5:$AG$5)*($B$5='Calculator Data Summary'!$B$6:$AG$6)*($B$6='Calculator Data Summary'!$B$4:$AG$4)*(D$13='Calculator Data Summary'!$B$7:$AG$7)*($A14='Calculator Data Summary'!$A$8:$A$19)*'Calculator Data Summary'!$B$8:$AG$19)</f>
        <v>119.33477235659757</v>
      </c>
      <c r="E14" s="44"/>
      <c r="F14" s="44"/>
    </row>
    <row r="15" spans="1:6" x14ac:dyDescent="0.55000000000000004">
      <c r="A15" s="60" t="s">
        <v>53</v>
      </c>
      <c r="B15" s="30">
        <f>SUMPRODUCT(($B$4='Calculator Data Summary'!$B$5:$AG$5)*($B$5='Calculator Data Summary'!$B$6:$AG$6)*($B$6='Calculator Data Summary'!$B$4:$AG$4)*(B$13='Calculator Data Summary'!$B$7:$AG$7)*($A15='Calculator Data Summary'!$A$8:$A$19)*'Calculator Data Summary'!$B$8:$AG$19)</f>
        <v>104.51</v>
      </c>
      <c r="C15" s="30">
        <f>SUMPRODUCT(($B$4='Calculator Data Summary'!$B$5:$AG$5)*($B$5='Calculator Data Summary'!$B$6:$AG$6)*($B$6='Calculator Data Summary'!$B$4:$AG$4)*(C$13='Calculator Data Summary'!$B$7:$AG$7)*($A15='Calculator Data Summary'!$A$8:$A$19)*'Calculator Data Summary'!$B$8:$AG$19)</f>
        <v>120.7</v>
      </c>
      <c r="D15" s="25">
        <f>SUMPRODUCT(($B$4='Calculator Data Summary'!$B$5:$AG$5)*($B$5='Calculator Data Summary'!$B$6:$AG$6)*($B$6='Calculator Data Summary'!$B$4:$AG$4)*(D$13='Calculator Data Summary'!$B$7:$AG$7)*($A15='Calculator Data Summary'!$A$8:$A$19)*'Calculator Data Summary'!$B$8:$AG$19)</f>
        <v>119.33477235659757</v>
      </c>
      <c r="F15" s="144"/>
    </row>
    <row r="16" spans="1:6" x14ac:dyDescent="0.55000000000000004">
      <c r="A16" s="60" t="s">
        <v>54</v>
      </c>
      <c r="B16" s="30">
        <f>SUMPRODUCT(($B$4='Calculator Data Summary'!$B$5:$AG$5)*($B$5='Calculator Data Summary'!$B$6:$AG$6)*($B$6='Calculator Data Summary'!$B$4:$AG$4)*(B$13='Calculator Data Summary'!$B$7:$AG$7)*($A16='Calculator Data Summary'!$A$8:$A$19)*'Calculator Data Summary'!$B$8:$AG$19)</f>
        <v>104.51</v>
      </c>
      <c r="C16" s="30">
        <f>SUMPRODUCT(($B$4='Calculator Data Summary'!$B$5:$AG$5)*($B$5='Calculator Data Summary'!$B$6:$AG$6)*($B$6='Calculator Data Summary'!$B$4:$AG$4)*(C$13='Calculator Data Summary'!$B$7:$AG$7)*($A16='Calculator Data Summary'!$A$8:$A$19)*'Calculator Data Summary'!$B$8:$AG$19)</f>
        <v>120.7</v>
      </c>
      <c r="D16" s="25">
        <f>SUMPRODUCT(($B$4='Calculator Data Summary'!$B$5:$AG$5)*($B$5='Calculator Data Summary'!$B$6:$AG$6)*($B$6='Calculator Data Summary'!$B$4:$AG$4)*(D$13='Calculator Data Summary'!$B$7:$AG$7)*($A16='Calculator Data Summary'!$A$8:$A$19)*'Calculator Data Summary'!$B$8:$AG$19)</f>
        <v>119.33477235659757</v>
      </c>
      <c r="F16" s="144"/>
    </row>
    <row r="17" spans="1:9" x14ac:dyDescent="0.55000000000000004">
      <c r="A17" s="60" t="s">
        <v>55</v>
      </c>
      <c r="B17" s="30">
        <f>SUMPRODUCT(($B$4='Calculator Data Summary'!$B$5:$AG$5)*($B$5='Calculator Data Summary'!$B$6:$AG$6)*($B$6='Calculator Data Summary'!$B$4:$AG$4)*(B$13='Calculator Data Summary'!$B$7:$AG$7)*($A17='Calculator Data Summary'!$A$8:$A$19)*'Calculator Data Summary'!$B$8:$AG$19)</f>
        <v>104.51</v>
      </c>
      <c r="C17" s="30">
        <f>SUMPRODUCT(($B$4='Calculator Data Summary'!$B$5:$AG$5)*($B$5='Calculator Data Summary'!$B$6:$AG$6)*($B$6='Calculator Data Summary'!$B$4:$AG$4)*(C$13='Calculator Data Summary'!$B$7:$AG$7)*($A17='Calculator Data Summary'!$A$8:$A$19)*'Calculator Data Summary'!$B$8:$AG$19)</f>
        <v>120.7</v>
      </c>
      <c r="D17" s="25">
        <f>SUMPRODUCT(($B$4='Calculator Data Summary'!$B$5:$AG$5)*($B$5='Calculator Data Summary'!$B$6:$AG$6)*($B$6='Calculator Data Summary'!$B$4:$AG$4)*(D$13='Calculator Data Summary'!$B$7:$AG$7)*($A17='Calculator Data Summary'!$A$8:$A$19)*'Calculator Data Summary'!$B$8:$AG$19)</f>
        <v>119.33477235659757</v>
      </c>
    </row>
    <row r="18" spans="1:9" x14ac:dyDescent="0.55000000000000004">
      <c r="A18" s="60" t="s">
        <v>56</v>
      </c>
      <c r="B18" s="30">
        <f>SUMPRODUCT(($B$4='Calculator Data Summary'!$B$5:$AG$5)*($B$5='Calculator Data Summary'!$B$6:$AG$6)*($B$6='Calculator Data Summary'!$B$4:$AG$4)*(B$13='Calculator Data Summary'!$B$7:$AG$7)*($A18='Calculator Data Summary'!$A$8:$A$19)*'Calculator Data Summary'!$B$8:$AG$19)</f>
        <v>104.51</v>
      </c>
      <c r="C18" s="30">
        <f>SUMPRODUCT(($B$4='Calculator Data Summary'!$B$5:$AG$5)*($B$5='Calculator Data Summary'!$B$6:$AG$6)*($B$6='Calculator Data Summary'!$B$4:$AG$4)*(C$13='Calculator Data Summary'!$B$7:$AG$7)*($A18='Calculator Data Summary'!$A$8:$A$19)*'Calculator Data Summary'!$B$8:$AG$19)</f>
        <v>120.7</v>
      </c>
      <c r="D18" s="25">
        <f>SUMPRODUCT(($B$4='Calculator Data Summary'!$B$5:$AG$5)*($B$5='Calculator Data Summary'!$B$6:$AG$6)*($B$6='Calculator Data Summary'!$B$4:$AG$4)*(D$13='Calculator Data Summary'!$B$7:$AG$7)*($A18='Calculator Data Summary'!$A$8:$A$19)*'Calculator Data Summary'!$B$8:$AG$19)</f>
        <v>119.33477235659757</v>
      </c>
    </row>
    <row r="19" spans="1:9" x14ac:dyDescent="0.55000000000000004">
      <c r="A19" s="60" t="s">
        <v>57</v>
      </c>
      <c r="B19" s="30">
        <f>SUMPRODUCT(($B$4='Calculator Data Summary'!$B$5:$AG$5)*($B$5='Calculator Data Summary'!$B$6:$AG$6)*($B$6='Calculator Data Summary'!$B$4:$AG$4)*(B$13='Calculator Data Summary'!$B$7:$AG$7)*($A19='Calculator Data Summary'!$A$8:$A$19)*'Calculator Data Summary'!$B$8:$AG$19)</f>
        <v>104.51</v>
      </c>
      <c r="C19" s="30">
        <f>SUMPRODUCT(($B$4='Calculator Data Summary'!$B$5:$AG$5)*($B$5='Calculator Data Summary'!$B$6:$AG$6)*($B$6='Calculator Data Summary'!$B$4:$AG$4)*(C$13='Calculator Data Summary'!$B$7:$AG$7)*($A19='Calculator Data Summary'!$A$8:$A$19)*'Calculator Data Summary'!$B$8:$AG$19)</f>
        <v>120.7</v>
      </c>
      <c r="D19" s="25">
        <f>SUMPRODUCT(($B$4='Calculator Data Summary'!$B$5:$AG$5)*($B$5='Calculator Data Summary'!$B$6:$AG$6)*($B$6='Calculator Data Summary'!$B$4:$AG$4)*(D$13='Calculator Data Summary'!$B$7:$AG$7)*($A19='Calculator Data Summary'!$A$8:$A$19)*'Calculator Data Summary'!$B$8:$AG$19)</f>
        <v>119.33477235659757</v>
      </c>
    </row>
    <row r="20" spans="1:9" x14ac:dyDescent="0.55000000000000004">
      <c r="A20" s="60" t="s">
        <v>58</v>
      </c>
      <c r="B20" s="30">
        <f>SUMPRODUCT(($B$4='Calculator Data Summary'!$B$5:$AG$5)*($B$5='Calculator Data Summary'!$B$6:$AG$6)*($B$6='Calculator Data Summary'!$B$4:$AG$4)*(B$13='Calculator Data Summary'!$B$7:$AG$7)*($A20='Calculator Data Summary'!$A$8:$A$19)*'Calculator Data Summary'!$B$8:$AG$19)</f>
        <v>110.59</v>
      </c>
      <c r="C20" s="30">
        <f>SUMPRODUCT(($B$4='Calculator Data Summary'!$B$5:$AG$5)*($B$5='Calculator Data Summary'!$B$6:$AG$6)*($B$6='Calculator Data Summary'!$B$4:$AG$4)*(C$13='Calculator Data Summary'!$B$7:$AG$7)*($A20='Calculator Data Summary'!$A$8:$A$19)*'Calculator Data Summary'!$B$8:$AG$19)</f>
        <v>120.7</v>
      </c>
      <c r="D20" s="25">
        <f>SUMPRODUCT(($B$4='Calculator Data Summary'!$B$5:$AG$5)*($B$5='Calculator Data Summary'!$B$6:$AG$6)*($B$6='Calculator Data Summary'!$B$4:$AG$4)*(D$13='Calculator Data Summary'!$B$7:$AG$7)*($A20='Calculator Data Summary'!$A$8:$A$19)*'Calculator Data Summary'!$B$8:$AG$19)</f>
        <v>119.33477235659757</v>
      </c>
    </row>
    <row r="21" spans="1:9" x14ac:dyDescent="0.55000000000000004">
      <c r="A21" s="60" t="s">
        <v>59</v>
      </c>
      <c r="B21" s="30">
        <f>SUMPRODUCT(($B$4='Calculator Data Summary'!$B$5:$AG$5)*($B$5='Calculator Data Summary'!$B$6:$AG$6)*($B$6='Calculator Data Summary'!$B$4:$AG$4)*(B$13='Calculator Data Summary'!$B$7:$AG$7)*($A21='Calculator Data Summary'!$A$8:$A$19)*'Calculator Data Summary'!$B$8:$AG$19)</f>
        <v>110.59</v>
      </c>
      <c r="C21" s="30">
        <f>SUMPRODUCT(($B$4='Calculator Data Summary'!$B$5:$AG$5)*($B$5='Calculator Data Summary'!$B$6:$AG$6)*($B$6='Calculator Data Summary'!$B$4:$AG$4)*(C$13='Calculator Data Summary'!$B$7:$AG$7)*($A21='Calculator Data Summary'!$A$8:$A$19)*'Calculator Data Summary'!$B$8:$AG$19)</f>
        <v>120.7</v>
      </c>
      <c r="D21" s="25">
        <f>SUMPRODUCT(($B$4='Calculator Data Summary'!$B$5:$AG$5)*($B$5='Calculator Data Summary'!$B$6:$AG$6)*($B$6='Calculator Data Summary'!$B$4:$AG$4)*(D$13='Calculator Data Summary'!$B$7:$AG$7)*($A21='Calculator Data Summary'!$A$8:$A$19)*'Calculator Data Summary'!$B$8:$AG$19)</f>
        <v>119.33477235659757</v>
      </c>
    </row>
    <row r="22" spans="1:9" x14ac:dyDescent="0.55000000000000004">
      <c r="A22" s="60" t="s">
        <v>60</v>
      </c>
      <c r="B22" s="30">
        <f>SUMPRODUCT(($B$4='Calculator Data Summary'!$B$5:$AG$5)*($B$5='Calculator Data Summary'!$B$6:$AG$6)*($B$6='Calculator Data Summary'!$B$4:$AG$4)*(B$13='Calculator Data Summary'!$B$7:$AG$7)*($A22='Calculator Data Summary'!$A$8:$A$19)*'Calculator Data Summary'!$B$8:$AG$19)</f>
        <v>110.59</v>
      </c>
      <c r="C22" s="30">
        <f>SUMPRODUCT(($B$4='Calculator Data Summary'!$B$5:$AG$5)*($B$5='Calculator Data Summary'!$B$6:$AG$6)*($B$6='Calculator Data Summary'!$B$4:$AG$4)*(C$13='Calculator Data Summary'!$B$7:$AG$7)*($A22='Calculator Data Summary'!$A$8:$A$19)*'Calculator Data Summary'!$B$8:$AG$19)</f>
        <v>120.59</v>
      </c>
      <c r="D22" s="25">
        <f>SUMPRODUCT(($B$4='Calculator Data Summary'!$B$5:$AG$5)*($B$5='Calculator Data Summary'!$B$6:$AG$6)*($B$6='Calculator Data Summary'!$B$4:$AG$4)*(D$13='Calculator Data Summary'!$B$7:$AG$7)*($A22='Calculator Data Summary'!$A$8:$A$19)*'Calculator Data Summary'!$B$8:$AG$19)</f>
        <v>119.33477235659757</v>
      </c>
    </row>
    <row r="23" spans="1:9" x14ac:dyDescent="0.55000000000000004">
      <c r="A23" s="60" t="s">
        <v>61</v>
      </c>
      <c r="B23" s="30">
        <f>SUMPRODUCT(($B$4='Calculator Data Summary'!$B$5:$AG$5)*($B$5='Calculator Data Summary'!$B$6:$AG$6)*($B$6='Calculator Data Summary'!$B$4:$AG$4)*(B$13='Calculator Data Summary'!$B$7:$AG$7)*($A23='Calculator Data Summary'!$A$8:$A$19)*'Calculator Data Summary'!$B$8:$AG$19)</f>
        <v>110.59</v>
      </c>
      <c r="C23" s="30">
        <f>SUMPRODUCT(($B$4='Calculator Data Summary'!$B$5:$AG$5)*($B$5='Calculator Data Summary'!$B$6:$AG$6)*($B$6='Calculator Data Summary'!$B$4:$AG$4)*(C$13='Calculator Data Summary'!$B$7:$AG$7)*($A23='Calculator Data Summary'!$A$8:$A$19)*'Calculator Data Summary'!$B$8:$AG$19)</f>
        <v>120.59</v>
      </c>
      <c r="D23" s="25">
        <f>SUMPRODUCT(($B$4='Calculator Data Summary'!$B$5:$AG$5)*($B$5='Calculator Data Summary'!$B$6:$AG$6)*($B$6='Calculator Data Summary'!$B$4:$AG$4)*(D$13='Calculator Data Summary'!$B$7:$AG$7)*($A23='Calculator Data Summary'!$A$8:$A$19)*'Calculator Data Summary'!$B$8:$AG$19)</f>
        <v>119.33477235659757</v>
      </c>
    </row>
    <row r="24" spans="1:9" x14ac:dyDescent="0.55000000000000004">
      <c r="A24" s="60" t="s">
        <v>62</v>
      </c>
      <c r="B24" s="30">
        <f>SUMPRODUCT(($B$4='Calculator Data Summary'!$B$5:$AG$5)*($B$5='Calculator Data Summary'!$B$6:$AG$6)*($B$6='Calculator Data Summary'!$B$4:$AG$4)*(B$13='Calculator Data Summary'!$B$7:$AG$7)*($A24='Calculator Data Summary'!$A$8:$A$19)*'Calculator Data Summary'!$B$8:$AG$19)</f>
        <v>105.89</v>
      </c>
      <c r="C24" s="30">
        <f>SUMPRODUCT(($B$4='Calculator Data Summary'!$B$5:$AG$5)*($B$5='Calculator Data Summary'!$B$6:$AG$6)*($B$6='Calculator Data Summary'!$B$4:$AG$4)*(C$13='Calculator Data Summary'!$B$7:$AG$7)*($A24='Calculator Data Summary'!$A$8:$A$19)*'Calculator Data Summary'!$B$8:$AG$19)</f>
        <v>120.59</v>
      </c>
      <c r="D24" s="25">
        <f>SUMPRODUCT(($B$4='Calculator Data Summary'!$B$5:$AG$5)*($B$5='Calculator Data Summary'!$B$6:$AG$6)*($B$6='Calculator Data Summary'!$B$4:$AG$4)*(D$13='Calculator Data Summary'!$B$7:$AG$7)*($A24='Calculator Data Summary'!$A$8:$A$19)*'Calculator Data Summary'!$B$8:$AG$19)</f>
        <v>119.33477235659757</v>
      </c>
    </row>
    <row r="25" spans="1:9" x14ac:dyDescent="0.55000000000000004">
      <c r="A25" s="60" t="s">
        <v>63</v>
      </c>
      <c r="B25" s="30">
        <f>SUMPRODUCT(($B$4='Calculator Data Summary'!$B$5:$AG$5)*($B$5='Calculator Data Summary'!$B$6:$AG$6)*($B$6='Calculator Data Summary'!$B$4:$AG$4)*(B$13='Calculator Data Summary'!$B$7:$AG$7)*($A25='Calculator Data Summary'!$A$8:$A$19)*'Calculator Data Summary'!$B$8:$AG$19)</f>
        <v>111.91</v>
      </c>
      <c r="C25" s="30">
        <f>SUMPRODUCT(($B$4='Calculator Data Summary'!$B$5:$AG$5)*($B$5='Calculator Data Summary'!$B$6:$AG$6)*($B$6='Calculator Data Summary'!$B$4:$AG$4)*(C$13='Calculator Data Summary'!$B$7:$AG$7)*($A25='Calculator Data Summary'!$A$8:$A$19)*'Calculator Data Summary'!$B$8:$AG$19)</f>
        <v>120.59</v>
      </c>
      <c r="D25" s="25">
        <f>SUMPRODUCT(($B$4='Calculator Data Summary'!$B$5:$AG$5)*($B$5='Calculator Data Summary'!$B$6:$AG$6)*($B$6='Calculator Data Summary'!$B$4:$AG$4)*(D$13='Calculator Data Summary'!$B$7:$AG$7)*($A25='Calculator Data Summary'!$A$8:$A$19)*'Calculator Data Summary'!$B$8:$AG$19)</f>
        <v>119.33477235659757</v>
      </c>
    </row>
    <row r="26" spans="1:9" ht="14.7" thickBot="1" x14ac:dyDescent="0.6">
      <c r="A26" s="61" t="s">
        <v>85</v>
      </c>
      <c r="B26" s="62">
        <f>SUM(B14:B25)</f>
        <v>1287.2200000000003</v>
      </c>
      <c r="C26" s="62">
        <f t="shared" ref="C26:D26" si="0">SUM(C14:C25)</f>
        <v>1447.9599999999998</v>
      </c>
      <c r="D26" s="63">
        <f t="shared" si="0"/>
        <v>1432.0172682791708</v>
      </c>
    </row>
    <row r="27" spans="1:9" x14ac:dyDescent="0.55000000000000004">
      <c r="A27" s="34" t="s">
        <v>87</v>
      </c>
      <c r="B27" s="65">
        <f>(B26-C9)/C9</f>
        <v>2.6393008643511094E-2</v>
      </c>
      <c r="C27" s="65">
        <f>(C26-B26)/B26</f>
        <v>0.12487375895340309</v>
      </c>
      <c r="D27" s="65">
        <f>(D26-C26)/C26</f>
        <v>-1.1010477997202265E-2</v>
      </c>
    </row>
    <row r="28" spans="1:9" x14ac:dyDescent="0.55000000000000004">
      <c r="A28" s="1"/>
    </row>
    <row r="29" spans="1:9" x14ac:dyDescent="0.55000000000000004">
      <c r="A29" s="34"/>
      <c r="B29" s="64"/>
      <c r="C29" s="64">
        <f>C14-B25</f>
        <v>8.7900000000000063</v>
      </c>
      <c r="D29" s="185">
        <f>C29/B25</f>
        <v>7.8545259583594013E-2</v>
      </c>
      <c r="F29" s="34"/>
      <c r="G29" s="64"/>
      <c r="H29" s="64"/>
      <c r="I29" s="64"/>
    </row>
    <row r="30" spans="1:9" ht="14.7" thickBot="1" x14ac:dyDescent="0.6">
      <c r="A30" s="17"/>
      <c r="B30" s="17"/>
      <c r="C30" s="17"/>
      <c r="D30" s="17"/>
      <c r="E30" s="71"/>
    </row>
    <row r="31" spans="1:9" x14ac:dyDescent="0.55000000000000004">
      <c r="A31" s="164" t="str">
        <f>CONCATENATE("Current Auth"," ",Input!B13)</f>
        <v>Current Auth January 2022</v>
      </c>
      <c r="B31" s="165">
        <f>LOOKUP(2,1/('Rev Req''t_yrs 1-3'!A4:A50="Active"),'Rev Req''t_yrs 1-3'!E4:E50)</f>
        <v>483761000</v>
      </c>
      <c r="C31" s="103"/>
      <c r="D31" s="104"/>
      <c r="E31" s="71"/>
    </row>
    <row r="32" spans="1:9" x14ac:dyDescent="0.55000000000000004">
      <c r="A32" s="101"/>
      <c r="B32" s="206" t="s">
        <v>90</v>
      </c>
      <c r="C32" s="206"/>
      <c r="D32" s="207"/>
      <c r="E32" s="71"/>
    </row>
    <row r="33" spans="1:4" x14ac:dyDescent="0.55000000000000004">
      <c r="A33" s="16"/>
      <c r="B33" s="151">
        <f>Input!B9</f>
        <v>2022</v>
      </c>
      <c r="C33" s="151">
        <f>Input!B10</f>
        <v>2023</v>
      </c>
      <c r="D33" s="152">
        <f>Input!B11</f>
        <v>2024</v>
      </c>
    </row>
    <row r="34" spans="1:4" x14ac:dyDescent="0.55000000000000004">
      <c r="A34" s="108" t="str">
        <f>Input!C98</f>
        <v>Pending - Filed</v>
      </c>
      <c r="B34" s="94">
        <f>SUMPRODUCT(($A34='Rev Req''t_yrs 1-3'!$A$4:$A$50)*(B$33='Rev Req''t_yrs 1-3'!$L$4:$L$50)*'Rev Req''t_yrs 1-3'!$F$4:$F$50)</f>
        <v>0</v>
      </c>
      <c r="C34" s="94">
        <f>SUMPRODUCT(($A34='Rev Req''t_yrs 1-3'!$A$4:$A$50)*(C$33='Rev Req''t_yrs 1-3'!$L$4:$L$50)*'Rev Req''t_yrs 1-3'!$F$4:$F$50)</f>
        <v>0</v>
      </c>
      <c r="D34" s="102">
        <f>SUMPRODUCT(($A34='Rev Req''t_yrs 1-3'!$A$4:$A$50)*(D$33='Rev Req''t_yrs 1-3'!$L$4:$L$50)*'Rev Req''t_yrs 1-3'!$F$4:$F$50)</f>
        <v>0</v>
      </c>
    </row>
    <row r="35" spans="1:4" x14ac:dyDescent="0.55000000000000004">
      <c r="A35" s="108" t="str">
        <f>Input!C99</f>
        <v>Pending - New Filing</v>
      </c>
      <c r="B35" s="94">
        <f>SUMPRODUCT(($A35='Rev Req''t_yrs 1-3'!$A$4:$A$50)*(B$33='Rev Req''t_yrs 1-3'!$L$4:$L$50)*'Rev Req''t_yrs 1-3'!$F$4:$F$50)</f>
        <v>0</v>
      </c>
      <c r="C35" s="94">
        <f>SUMPRODUCT(($A35='Rev Req''t_yrs 1-3'!$A$4:$A$50)*(C$33='Rev Req''t_yrs 1-3'!$L$4:$L$50)*'Rev Req''t_yrs 1-3'!$F$4:$F$50)</f>
        <v>0</v>
      </c>
      <c r="D35" s="102">
        <f>SUMPRODUCT(($A35='Rev Req''t_yrs 1-3'!$A$4:$A$50)*(D$33='Rev Req''t_yrs 1-3'!$L$4:$L$50)*'Rev Req''t_yrs 1-3'!$F$4:$F$50)</f>
        <v>0</v>
      </c>
    </row>
    <row r="36" spans="1:4" x14ac:dyDescent="0.55000000000000004">
      <c r="A36" s="108" t="str">
        <f>Input!C100</f>
        <v>Anticipated</v>
      </c>
      <c r="B36" s="94">
        <f>SUMPRODUCT(($A36='Rev Req''t_yrs 1-3'!$A$4:$A$50)*(B$33='Rev Req''t_yrs 1-3'!$L$4:$L$50)*'Rev Req''t_yrs 1-3'!$F$4:$F$50)</f>
        <v>0</v>
      </c>
      <c r="C36" s="94">
        <f>SUMPRODUCT(($A36='Rev Req''t_yrs 1-3'!$A$4:$A$50)*(C$33='Rev Req''t_yrs 1-3'!$L$4:$L$50)*'Rev Req''t_yrs 1-3'!$F$4:$F$50)</f>
        <v>0</v>
      </c>
      <c r="D36" s="102">
        <f>SUMPRODUCT(($A36='Rev Req''t_yrs 1-3'!$A$4:$A$50)*(D$33='Rev Req''t_yrs 1-3'!$L$4:$L$50)*'Rev Req''t_yrs 1-3'!$F$4:$F$50)</f>
        <v>16102000</v>
      </c>
    </row>
    <row r="37" spans="1:4" ht="14.7" thickBot="1" x14ac:dyDescent="0.6">
      <c r="A37" s="98" t="s">
        <v>39</v>
      </c>
      <c r="B37" s="99">
        <f>SUM(B34:B36)</f>
        <v>0</v>
      </c>
      <c r="C37" s="99">
        <f>SUM(C34:C36)</f>
        <v>0</v>
      </c>
      <c r="D37" s="100">
        <f>SUM(C34:C36)</f>
        <v>0</v>
      </c>
    </row>
    <row r="38" spans="1:4" ht="14.7" thickTop="1" x14ac:dyDescent="0.55000000000000004">
      <c r="A38" s="73"/>
      <c r="B38" s="17"/>
      <c r="C38" s="17"/>
      <c r="D38" s="19"/>
    </row>
    <row r="39" spans="1:4" ht="28.8" x14ac:dyDescent="0.55000000000000004">
      <c r="A39" s="72" t="s">
        <v>91</v>
      </c>
      <c r="B39" s="69">
        <f>B31+B37</f>
        <v>483761000</v>
      </c>
      <c r="C39" s="69">
        <f>B39+C37</f>
        <v>483761000</v>
      </c>
      <c r="D39" s="70">
        <f>C39+D37</f>
        <v>483761000</v>
      </c>
    </row>
    <row r="40" spans="1:4" ht="29.1" thickBot="1" x14ac:dyDescent="0.6">
      <c r="A40" s="84" t="s">
        <v>110</v>
      </c>
      <c r="B40" s="85">
        <f>(B39-B31)/B31</f>
        <v>0</v>
      </c>
      <c r="C40" s="85">
        <f>(C39-B39)/B39</f>
        <v>0</v>
      </c>
      <c r="D40" s="86">
        <f>(D39-C39)/C39</f>
        <v>0</v>
      </c>
    </row>
  </sheetData>
  <mergeCells count="1">
    <mergeCell ref="B32:D32"/>
  </mergeCells>
  <dataValidations count="1">
    <dataValidation type="list" allowBlank="1" showInputMessage="1" showErrorMessage="1" sqref="B6">
      <formula1>INDIRECT(SUBSTITUTE($B$5,"-","_"))</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Input!$C$104:$C$105</xm:f>
          </x14:formula1>
          <xm:sqref>B4</xm:sqref>
        </x14:dataValidation>
        <x14:dataValidation type="list" allowBlank="1" showInputMessage="1" showErrorMessage="1">
          <x14:formula1>
            <xm:f>Input!$B$107:$C$107</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sheetPr>
  <dimension ref="A1:W51"/>
  <sheetViews>
    <sheetView tabSelected="1" zoomScale="115" zoomScaleNormal="115" workbookViewId="0">
      <pane ySplit="3" topLeftCell="A4" activePane="bottomLeft" state="frozen"/>
      <selection activeCell="G35" sqref="G35"/>
      <selection pane="bottomLeft" activeCell="E4" sqref="E4"/>
    </sheetView>
  </sheetViews>
  <sheetFormatPr defaultRowHeight="14.4" x14ac:dyDescent="0.55000000000000004"/>
  <cols>
    <col min="1" max="1" width="33" bestFit="1" customWidth="1"/>
    <col min="2" max="2" width="23" customWidth="1"/>
    <col min="3" max="3" width="33.41796875" customWidth="1"/>
    <col min="4" max="4" width="18.41796875" style="3" customWidth="1"/>
    <col min="5" max="9" width="18.41796875" style="50" customWidth="1"/>
    <col min="10" max="10" width="16.83984375" style="3" customWidth="1"/>
    <col min="11" max="11" width="7.68359375" style="40" hidden="1" customWidth="1"/>
    <col min="12" max="13" width="8.41796875" style="40" hidden="1" customWidth="1"/>
    <col min="14" max="14" width="13.68359375" style="3" bestFit="1" customWidth="1"/>
    <col min="15" max="15" width="13.68359375" style="3" customWidth="1"/>
    <col min="16" max="16" width="12.15625" style="9" customWidth="1"/>
    <col min="17" max="17" width="11.578125" style="3" customWidth="1"/>
    <col min="18" max="18" width="15.83984375" style="55" customWidth="1"/>
    <col min="19" max="19" width="13.578125" style="55" customWidth="1"/>
    <col min="20" max="20" width="9.68359375" style="9" customWidth="1"/>
    <col min="21" max="21" width="10" style="3" bestFit="1" customWidth="1"/>
    <col min="22" max="22" width="14.83984375" style="3" customWidth="1"/>
    <col min="23" max="23" width="13.83984375" customWidth="1"/>
  </cols>
  <sheetData>
    <row r="1" spans="1:23" x14ac:dyDescent="0.55000000000000004">
      <c r="A1" s="1" t="s">
        <v>148</v>
      </c>
      <c r="D1" s="160"/>
    </row>
    <row r="2" spans="1:23" x14ac:dyDescent="0.55000000000000004">
      <c r="A2" s="1" t="s">
        <v>107</v>
      </c>
      <c r="B2" s="5" t="str">
        <f>CONCATENATE(Input!B9,"-",Input!B11)</f>
        <v>2022-2024</v>
      </c>
    </row>
    <row r="3" spans="1:23" s="36" customFormat="1" ht="57.6" x14ac:dyDescent="0.55000000000000004">
      <c r="A3" s="36" t="s">
        <v>67</v>
      </c>
      <c r="B3" s="36" t="s">
        <v>74</v>
      </c>
      <c r="C3" s="36" t="s">
        <v>68</v>
      </c>
      <c r="D3" s="36" t="s">
        <v>144</v>
      </c>
      <c r="E3" s="51" t="s">
        <v>76</v>
      </c>
      <c r="F3" s="154" t="s">
        <v>180</v>
      </c>
      <c r="G3" s="154" t="s">
        <v>181</v>
      </c>
      <c r="H3" s="154" t="s">
        <v>182</v>
      </c>
      <c r="I3" s="154" t="s">
        <v>183</v>
      </c>
      <c r="J3" s="36" t="s">
        <v>75</v>
      </c>
      <c r="K3" s="147" t="s">
        <v>86</v>
      </c>
      <c r="L3" s="147" t="s">
        <v>106</v>
      </c>
      <c r="M3" s="147" t="s">
        <v>105</v>
      </c>
      <c r="N3" s="36" t="s">
        <v>69</v>
      </c>
      <c r="O3" s="36" t="s">
        <v>77</v>
      </c>
      <c r="P3" s="49" t="s">
        <v>137</v>
      </c>
      <c r="Q3" s="36" t="s">
        <v>79</v>
      </c>
      <c r="R3" s="162" t="s">
        <v>186</v>
      </c>
      <c r="S3" s="162" t="s">
        <v>187</v>
      </c>
      <c r="T3" s="163" t="s">
        <v>78</v>
      </c>
      <c r="U3" s="157" t="s">
        <v>80</v>
      </c>
      <c r="V3" s="162" t="s">
        <v>186</v>
      </c>
      <c r="W3" s="162" t="s">
        <v>187</v>
      </c>
    </row>
    <row r="4" spans="1:23" x14ac:dyDescent="0.55000000000000004">
      <c r="A4" s="66" t="s">
        <v>171</v>
      </c>
      <c r="B4" s="66" t="s">
        <v>227</v>
      </c>
      <c r="C4" s="66" t="s">
        <v>228</v>
      </c>
      <c r="D4" s="68"/>
      <c r="E4" s="67">
        <f>('[1]Att. C-2 Rev Calc '!$AB$13+'[5]Att. C-2 Rev Calc '!$AB$15)*1000+17262329</f>
        <v>415329015</v>
      </c>
      <c r="F4" s="83"/>
      <c r="G4" s="83"/>
      <c r="H4" s="83"/>
      <c r="I4" s="105"/>
      <c r="J4" s="106">
        <v>44562</v>
      </c>
      <c r="K4" s="158" t="s">
        <v>52</v>
      </c>
      <c r="L4" s="159">
        <v>2022</v>
      </c>
      <c r="M4" s="159">
        <v>2022</v>
      </c>
      <c r="N4" s="68" t="s">
        <v>82</v>
      </c>
      <c r="O4" s="40">
        <f>'Residential Bill_Current_avg'!B7</f>
        <v>11</v>
      </c>
      <c r="P4" s="38">
        <f>'Calculator Data Summary'!F21</f>
        <v>104.51</v>
      </c>
      <c r="Q4" s="38">
        <f>IFERROR(P4*12,0)</f>
        <v>1254.1200000000001</v>
      </c>
      <c r="R4" s="107" t="s">
        <v>82</v>
      </c>
      <c r="S4" s="107"/>
      <c r="T4" s="38">
        <f>'Calculator Data Summary'!N21</f>
        <v>87.55</v>
      </c>
      <c r="U4" s="38">
        <f>IFERROR(T4*12,0)</f>
        <v>1050.5999999999999</v>
      </c>
      <c r="V4" s="107" t="s">
        <v>82</v>
      </c>
      <c r="W4" s="161"/>
    </row>
    <row r="5" spans="1:23" x14ac:dyDescent="0.55000000000000004">
      <c r="A5" s="48" t="s">
        <v>171</v>
      </c>
      <c r="B5" s="48" t="s">
        <v>229</v>
      </c>
      <c r="C5" s="48" t="s">
        <v>230</v>
      </c>
      <c r="D5" s="54" t="s">
        <v>147</v>
      </c>
      <c r="E5" s="181">
        <f>232355+E4</f>
        <v>415561370</v>
      </c>
      <c r="F5" s="50">
        <f>IF(E5=0,0,(E5-LOOKUP(2,1/($A$4:$A$50="Active"),$E$4:$E$50)))</f>
        <v>-68199630</v>
      </c>
      <c r="G5" s="156">
        <f>IF(E5=0," ",(F5/LOOKUP(2,1/($A$4:$A$50="Active"),$E$4:$E$50)))</f>
        <v>-0.14097794158685797</v>
      </c>
      <c r="H5" s="155">
        <f>IF(E5=0,0,E5-$E$4)</f>
        <v>232355</v>
      </c>
      <c r="I5" s="74">
        <f>IF(H5=" "," ",H5/$E$4)</f>
        <v>5.5944803182122972E-4</v>
      </c>
      <c r="J5" s="53">
        <v>44743</v>
      </c>
      <c r="K5" s="158" t="s">
        <v>58</v>
      </c>
      <c r="L5" s="159">
        <v>2022</v>
      </c>
      <c r="M5" s="159">
        <v>2022</v>
      </c>
      <c r="N5" s="54" t="s">
        <v>82</v>
      </c>
      <c r="O5" s="3">
        <f>IF(B5=0," ",$O$4)</f>
        <v>11</v>
      </c>
      <c r="P5" s="38">
        <f>IF(M5=" "," ",SUMPRODUCT((K5='Calculator Data Summary'!$A$8:$A$19)*('Rev Req''t_yrs 1-3'!M5='Calculator Data Summary'!$G$7:$I$7)*'Calculator Data Summary'!$G$8:$I$19))</f>
        <v>110.59</v>
      </c>
      <c r="Q5" s="9">
        <f>IF(P5=" "," ",P5*12)</f>
        <v>1327.08</v>
      </c>
      <c r="R5" s="74">
        <f>IF(B5=0," ",(P5-LOOKUP(2,1/($A$4:$A$50="Active"),$P$4:$P$50))/LOOKUP(2,1/($A$4:$A$50="Active"),$P$4:$P$50))</f>
        <v>-8.3761391880695937E-2</v>
      </c>
      <c r="S5" s="74">
        <f>IF(B5=0," ",(P5-$P$4)/$P$4)</f>
        <v>5.8176251076451996E-2</v>
      </c>
      <c r="T5" s="38">
        <f>IF(M5=" "," ",SUMPRODUCT((K5='Calculator Data Summary'!$A$8:$A$19)*('Rev Req''t_yrs 1-3'!M5='Calculator Data Summary'!$O$7:$Q$7)*'Calculator Data Summary'!$O$8:$Q$19))</f>
        <v>88.080000000000013</v>
      </c>
      <c r="U5" s="9">
        <f>IF(T5=" "," ",T5*12)</f>
        <v>1056.96</v>
      </c>
      <c r="V5" s="74">
        <f>IF(B5=0," ",(T5-LOOKUP(2,1/($A$4:$A$50="Active"),$T$4:$T$50))/LOOKUP(2,1/($A$4:$A$50="Active"),$T$4:$T$50))</f>
        <v>-0.13041761279494526</v>
      </c>
      <c r="W5" s="74">
        <f>IF(B5=0," ",(T5-$T$4)/$T$4)</f>
        <v>6.0536836093662517E-3</v>
      </c>
    </row>
    <row r="6" spans="1:23" x14ac:dyDescent="0.55000000000000004">
      <c r="A6" s="48" t="s">
        <v>171</v>
      </c>
      <c r="B6" s="48" t="s">
        <v>231</v>
      </c>
      <c r="C6" s="48" t="s">
        <v>232</v>
      </c>
      <c r="D6" s="54" t="s">
        <v>147</v>
      </c>
      <c r="E6" s="181">
        <f>24331436+E5</f>
        <v>439892806</v>
      </c>
      <c r="F6" s="50">
        <f t="shared" ref="F6:F50" si="0">IF(E6=0,0,(E6-LOOKUP(2,1/($A$4:$A$50="Active"),$E$4:$E$50)))</f>
        <v>-43868194</v>
      </c>
      <c r="G6" s="156">
        <f>IF(E6=0," ",(F6/LOOKUP(2,1/($A$4:$A$50="Active"),$E$4:$E$50)))</f>
        <v>-9.0681543158708536E-2</v>
      </c>
      <c r="H6" s="155">
        <f>IF(E6=0,0,E6-$E$4)</f>
        <v>24563791</v>
      </c>
      <c r="I6" s="74">
        <f t="shared" ref="I6:I50" si="1">IF(H6=" "," ",H6/$E$4)</f>
        <v>5.9142968858075087E-2</v>
      </c>
      <c r="J6" s="53">
        <v>44743</v>
      </c>
      <c r="K6" s="158" t="s">
        <v>58</v>
      </c>
      <c r="L6" s="159">
        <v>2022</v>
      </c>
      <c r="M6" s="159">
        <v>2022</v>
      </c>
      <c r="N6" s="54" t="s">
        <v>82</v>
      </c>
      <c r="O6" s="3">
        <f t="shared" ref="O6:O50" si="2">IF(B6=0," ",$O$4)</f>
        <v>11</v>
      </c>
      <c r="P6" s="38">
        <f>IF(M6=" "," ",SUMPRODUCT((K6='Calculator Data Summary'!$A$8:$A$19)*('Rev Req''t_yrs 1-3'!M6='Calculator Data Summary'!$G$7:$I$7)*'Calculator Data Summary'!$G$8:$I$19))</f>
        <v>110.59</v>
      </c>
      <c r="Q6" s="9">
        <f t="shared" ref="Q6:Q50" si="3">IF(P6=" "," ",P6*12)</f>
        <v>1327.08</v>
      </c>
      <c r="R6" s="74">
        <f t="shared" ref="R6:R50" si="4">IF(B6=0," ",(P6-LOOKUP(2,1/($A$4:$A$50="Active"),$P$4:$P$50))/LOOKUP(2,1/($A$4:$A$50="Active"),$P$4:$P$50))</f>
        <v>-8.3761391880695937E-2</v>
      </c>
      <c r="S6" s="74">
        <f t="shared" ref="S6:S50" si="5">IF(B6=0," ",(P6-$P$4)/$P$4)</f>
        <v>5.8176251076451996E-2</v>
      </c>
      <c r="T6" s="38">
        <f>IF(M6=" "," ",SUMPRODUCT((K6='Calculator Data Summary'!$A$8:$A$19)*('Rev Req''t_yrs 1-3'!M6='Calculator Data Summary'!$O$7:$Q$7)*'Calculator Data Summary'!$O$8:$Q$19))</f>
        <v>88.080000000000013</v>
      </c>
      <c r="U6" s="9">
        <f t="shared" ref="U6:U50" si="6">IF(T6=" "," ",T6*12)</f>
        <v>1056.96</v>
      </c>
      <c r="V6" s="74">
        <f t="shared" ref="V6:V50" si="7">IF(B6=0," ",(T6-LOOKUP(2,1/($A$4:$A$50="Active"),$T$4:$T$50))/LOOKUP(2,1/($A$4:$A$50="Active"),$T$4:$T$50))</f>
        <v>-0.13041761279494526</v>
      </c>
      <c r="W6" s="74">
        <f t="shared" ref="W6:W50" si="8">IF(B6=0," ",(T6-$T$4)/$T$4)</f>
        <v>6.0536836093662517E-3</v>
      </c>
    </row>
    <row r="7" spans="1:23" x14ac:dyDescent="0.55000000000000004">
      <c r="A7" s="48" t="s">
        <v>171</v>
      </c>
      <c r="B7" s="48" t="s">
        <v>233</v>
      </c>
      <c r="C7" s="48" t="s">
        <v>234</v>
      </c>
      <c r="D7" s="54" t="s">
        <v>145</v>
      </c>
      <c r="E7" s="181">
        <v>0</v>
      </c>
      <c r="F7" s="50">
        <f t="shared" si="0"/>
        <v>0</v>
      </c>
      <c r="G7" s="156" t="str">
        <f t="shared" ref="G7:G50" si="9">IF(E7=0," ",(F7/LOOKUP(2,1/($A$4:$A$50="Active"),$E$4:$E$50)))</f>
        <v xml:space="preserve"> </v>
      </c>
      <c r="H7" s="155">
        <f t="shared" ref="H7:H50" si="10">IF(E7=0,0,E7-$E$4)</f>
        <v>0</v>
      </c>
      <c r="I7" s="74">
        <f t="shared" si="1"/>
        <v>0</v>
      </c>
      <c r="J7" s="53">
        <v>44876</v>
      </c>
      <c r="K7" s="158" t="s">
        <v>62</v>
      </c>
      <c r="L7" s="159">
        <v>2022</v>
      </c>
      <c r="M7" s="159">
        <v>2022</v>
      </c>
      <c r="N7" s="53">
        <v>44877</v>
      </c>
      <c r="O7" s="3">
        <f t="shared" si="2"/>
        <v>11</v>
      </c>
      <c r="P7" s="38">
        <f>IF(M7=" "," ",SUMPRODUCT((K7='Calculator Data Summary'!$A$8:$A$19)*('Rev Req''t_yrs 1-3'!M7='Calculator Data Summary'!$G$7:$I$7)*'Calculator Data Summary'!$G$8:$I$19))</f>
        <v>105.89</v>
      </c>
      <c r="Q7" s="9">
        <f t="shared" si="3"/>
        <v>1270.68</v>
      </c>
      <c r="R7" s="74">
        <f>IF(B7=0," ",(P7-LOOKUP(2,1/($A$4:$A$50="Active"),$P$4:$P$50))/LOOKUP(2,1/($A$4:$A$50="Active"),$P$4:$P$50))</f>
        <v>-0.12270091135045569</v>
      </c>
      <c r="S7" s="74">
        <f t="shared" si="5"/>
        <v>1.3204478040378867E-2</v>
      </c>
      <c r="T7" s="38">
        <f>IF(M7=" "," ",SUMPRODUCT((K7='Calculator Data Summary'!$A$8:$A$19)*('Rev Req''t_yrs 1-3'!M7='Calculator Data Summary'!$O$7:$Q$7)*'Calculator Data Summary'!$O$8:$Q$19))</f>
        <v>88.69</v>
      </c>
      <c r="U7" s="9">
        <f t="shared" si="6"/>
        <v>1064.28</v>
      </c>
      <c r="V7" s="74">
        <f t="shared" si="7"/>
        <v>-0.12439530062197671</v>
      </c>
      <c r="W7" s="74">
        <f t="shared" si="8"/>
        <v>1.3021130782410059E-2</v>
      </c>
    </row>
    <row r="8" spans="1:23" x14ac:dyDescent="0.55000000000000004">
      <c r="A8" s="48" t="s">
        <v>171</v>
      </c>
      <c r="B8" s="48" t="s">
        <v>235</v>
      </c>
      <c r="C8" s="48" t="s">
        <v>236</v>
      </c>
      <c r="D8" s="54" t="s">
        <v>146</v>
      </c>
      <c r="E8" s="181">
        <v>0</v>
      </c>
      <c r="F8" s="50">
        <f t="shared" si="0"/>
        <v>0</v>
      </c>
      <c r="G8" s="42" t="str">
        <f t="shared" si="9"/>
        <v xml:space="preserve"> </v>
      </c>
      <c r="H8" s="155">
        <f t="shared" si="10"/>
        <v>0</v>
      </c>
      <c r="I8" s="74">
        <f t="shared" si="1"/>
        <v>0</v>
      </c>
      <c r="J8" s="53">
        <v>44876</v>
      </c>
      <c r="K8" s="158" t="s">
        <v>62</v>
      </c>
      <c r="L8" s="159">
        <v>2022</v>
      </c>
      <c r="M8" s="159">
        <v>2022</v>
      </c>
      <c r="N8" s="53">
        <v>44877</v>
      </c>
      <c r="O8" s="3">
        <f>IF(B8=0," ",$O$4)</f>
        <v>11</v>
      </c>
      <c r="P8" s="38">
        <f>IF(M8=" "," ",SUMPRODUCT((K8='Calculator Data Summary'!$A$8:$A$19)*('Rev Req''t_yrs 1-3'!M8='Calculator Data Summary'!$G$7:$I$7)*'Calculator Data Summary'!$G$8:$I$19))</f>
        <v>105.89</v>
      </c>
      <c r="Q8" s="9">
        <f t="shared" si="3"/>
        <v>1270.68</v>
      </c>
      <c r="R8" s="74">
        <f t="shared" si="4"/>
        <v>-0.12270091135045569</v>
      </c>
      <c r="S8" s="74">
        <f t="shared" si="5"/>
        <v>1.3204478040378867E-2</v>
      </c>
      <c r="T8" s="38">
        <f>IF(M8=" "," ",SUMPRODUCT((K8='Calculator Data Summary'!$A$8:$A$19)*('Rev Req''t_yrs 1-3'!M8='Calculator Data Summary'!$O$7:$Q$7)*'Calculator Data Summary'!$O$8:$Q$19))</f>
        <v>88.69</v>
      </c>
      <c r="U8" s="9">
        <f t="shared" si="6"/>
        <v>1064.28</v>
      </c>
      <c r="V8" s="74">
        <f t="shared" si="7"/>
        <v>-0.12439530062197671</v>
      </c>
      <c r="W8" s="74">
        <f t="shared" si="8"/>
        <v>1.3021130782410059E-2</v>
      </c>
    </row>
    <row r="9" spans="1:23" x14ac:dyDescent="0.55000000000000004">
      <c r="A9" s="48" t="s">
        <v>190</v>
      </c>
      <c r="B9" s="48" t="s">
        <v>237</v>
      </c>
      <c r="C9" s="48" t="s">
        <v>238</v>
      </c>
      <c r="D9" s="54" t="s">
        <v>147</v>
      </c>
      <c r="E9" s="52">
        <f>('[2]4 - SOE Detail '!$H$13+'[2]4 - SOE Detail '!$H$15)*1000</f>
        <v>465311330.81704646</v>
      </c>
      <c r="F9" s="50">
        <f t="shared" si="0"/>
        <v>-18449669.182953537</v>
      </c>
      <c r="G9" s="42">
        <f t="shared" si="9"/>
        <v>-3.8137983803889809E-2</v>
      </c>
      <c r="H9" s="155">
        <f>IF(E9=0,0,E9-$E$4)</f>
        <v>49982315.817046463</v>
      </c>
      <c r="I9" s="74">
        <f>IF(H9=" "," ",H9/$E$4)</f>
        <v>0.1203439057034011</v>
      </c>
      <c r="J9" s="53">
        <v>44866</v>
      </c>
      <c r="K9" s="158" t="s">
        <v>62</v>
      </c>
      <c r="L9" s="159">
        <v>2022</v>
      </c>
      <c r="M9" s="159">
        <v>2022</v>
      </c>
      <c r="N9" s="54" t="s">
        <v>82</v>
      </c>
      <c r="O9" s="3">
        <f>IF(B9=0," ",$O$4)</f>
        <v>11</v>
      </c>
      <c r="P9" s="38">
        <f>IF(M9=" "," ",SUMPRODUCT((K9='Calculator Data Summary'!$A$8:$A$19)*('Rev Req''t_yrs 1-3'!M9='Calculator Data Summary'!$G$7:$I$7)*'Calculator Data Summary'!$G$8:$I$19))</f>
        <v>105.89</v>
      </c>
      <c r="Q9" s="9">
        <f t="shared" si="3"/>
        <v>1270.68</v>
      </c>
      <c r="R9" s="74">
        <f>IF(B9=0," ",(P9-LOOKUP(2,1/($A$4:$A$50="Active"),$P$4:$P$50))/LOOKUP(2,1/($A$4:$A$50="Active"),$P$4:$P$50))</f>
        <v>-0.12270091135045569</v>
      </c>
      <c r="S9" s="74">
        <f t="shared" si="5"/>
        <v>1.3204478040378867E-2</v>
      </c>
      <c r="T9" s="38">
        <f>IF(M9=" "," ",SUMPRODUCT((K9='Calculator Data Summary'!$A$8:$A$19)*('Rev Req''t_yrs 1-3'!M9='Calculator Data Summary'!$O$7:$Q$7)*'Calculator Data Summary'!$O$8:$Q$19))</f>
        <v>88.69</v>
      </c>
      <c r="U9" s="9">
        <f t="shared" si="6"/>
        <v>1064.28</v>
      </c>
      <c r="V9" s="74">
        <f t="shared" si="7"/>
        <v>-0.12439530062197671</v>
      </c>
      <c r="W9" s="74">
        <f t="shared" si="8"/>
        <v>1.3021130782410059E-2</v>
      </c>
    </row>
    <row r="10" spans="1:23" x14ac:dyDescent="0.55000000000000004">
      <c r="A10" s="48" t="s">
        <v>70</v>
      </c>
      <c r="B10" s="48" t="s">
        <v>247</v>
      </c>
      <c r="C10" s="48" t="s">
        <v>239</v>
      </c>
      <c r="D10" s="54" t="s">
        <v>145</v>
      </c>
      <c r="E10" s="52">
        <v>0</v>
      </c>
      <c r="F10" s="50">
        <f t="shared" si="0"/>
        <v>0</v>
      </c>
      <c r="G10" s="42" t="str">
        <f t="shared" si="9"/>
        <v xml:space="preserve"> </v>
      </c>
      <c r="H10" s="155">
        <f t="shared" si="10"/>
        <v>0</v>
      </c>
      <c r="I10" s="74">
        <f t="shared" si="1"/>
        <v>0</v>
      </c>
      <c r="J10" s="53">
        <v>44927</v>
      </c>
      <c r="K10" s="158" t="s">
        <v>63</v>
      </c>
      <c r="L10" s="159">
        <v>2022</v>
      </c>
      <c r="M10" s="159">
        <v>2022</v>
      </c>
      <c r="N10" s="53">
        <v>45261</v>
      </c>
      <c r="O10" s="3">
        <v>11</v>
      </c>
      <c r="P10" s="38">
        <f>IF(M10=" "," ",SUMPRODUCT((K10='Calculator Data Summary'!$A$8:$A$19)*('Rev Req''t_yrs 1-3'!M10='Calculator Data Summary'!$G$7:$I$7)*'Calculator Data Summary'!$G$8:$I$19))</f>
        <v>111.91</v>
      </c>
      <c r="Q10" s="9">
        <f t="shared" si="3"/>
        <v>1342.92</v>
      </c>
      <c r="R10" s="74">
        <f t="shared" si="4"/>
        <v>-7.2825186412593251E-2</v>
      </c>
      <c r="S10" s="74">
        <f t="shared" si="5"/>
        <v>7.0806621375944803E-2</v>
      </c>
      <c r="T10" s="38">
        <f>IF(M10=" "," ",SUMPRODUCT((K10='Calculator Data Summary'!$A$8:$A$19)*('Rev Req''t_yrs 1-3'!M10='Calculator Data Summary'!$O$7:$Q$7)*'Calculator Data Summary'!$O$8:$Q$19))</f>
        <v>93.820000000000007</v>
      </c>
      <c r="U10" s="9">
        <f t="shared" si="6"/>
        <v>1125.8400000000001</v>
      </c>
      <c r="V10" s="74">
        <f t="shared" si="7"/>
        <v>-7.3748642511600473E-2</v>
      </c>
      <c r="W10" s="74">
        <f t="shared" si="8"/>
        <v>7.1616219303255402E-2</v>
      </c>
    </row>
    <row r="11" spans="1:23" x14ac:dyDescent="0.55000000000000004">
      <c r="A11" s="48" t="s">
        <v>70</v>
      </c>
      <c r="B11" s="48" t="s">
        <v>247</v>
      </c>
      <c r="C11" s="48" t="s">
        <v>240</v>
      </c>
      <c r="D11" s="54" t="s">
        <v>147</v>
      </c>
      <c r="E11" s="52">
        <f>('[3]1 - SOE Detail '!$S$13+'[3]1 - SOE Detail '!$S$15)*1000</f>
        <v>483761000</v>
      </c>
      <c r="F11" s="50">
        <f t="shared" si="0"/>
        <v>0</v>
      </c>
      <c r="G11" s="42">
        <f>IF(E11=0," ",(F11/LOOKUP(2,1/($A$4:$A$50="Active"),$E$4:$E$50)))</f>
        <v>0</v>
      </c>
      <c r="H11" s="155">
        <f>IF(E11=0,0,E11-$E$4)</f>
        <v>68431985</v>
      </c>
      <c r="I11" s="74">
        <f t="shared" si="1"/>
        <v>0.16476572194215711</v>
      </c>
      <c r="J11" s="53">
        <v>44927</v>
      </c>
      <c r="K11" s="158" t="s">
        <v>52</v>
      </c>
      <c r="L11" s="159">
        <v>2023</v>
      </c>
      <c r="M11" s="159">
        <v>2023</v>
      </c>
      <c r="N11" s="54" t="s">
        <v>82</v>
      </c>
      <c r="O11" s="3">
        <f t="shared" si="2"/>
        <v>11</v>
      </c>
      <c r="P11" s="38">
        <f>IF(M11=" "," ",SUMPRODUCT((K11='Calculator Data Summary'!$A$8:$A$19)*('Rev Req''t_yrs 1-3'!M11='Calculator Data Summary'!$G$7:$I$7)*'Calculator Data Summary'!$G$8:$I$19))</f>
        <v>120.7</v>
      </c>
      <c r="Q11" s="9">
        <f t="shared" si="3"/>
        <v>1448.4</v>
      </c>
      <c r="R11" s="74">
        <f t="shared" si="4"/>
        <v>0</v>
      </c>
      <c r="S11" s="74">
        <f t="shared" si="5"/>
        <v>0.15491340541574966</v>
      </c>
      <c r="T11" s="38">
        <f>IF(M11=" "," ",SUMPRODUCT((K11='Calculator Data Summary'!$A$8:$A$19)*('Rev Req''t_yrs 1-3'!M11='Calculator Data Summary'!$O$7:$Q$7)*'Calculator Data Summary'!$O$8:$Q$19))</f>
        <v>101.29000000000002</v>
      </c>
      <c r="U11" s="9">
        <f t="shared" si="6"/>
        <v>1215.4800000000002</v>
      </c>
      <c r="V11" s="74">
        <f t="shared" si="7"/>
        <v>0</v>
      </c>
      <c r="W11" s="74">
        <f t="shared" si="8"/>
        <v>0.15693889206167932</v>
      </c>
    </row>
    <row r="12" spans="1:23" x14ac:dyDescent="0.55000000000000004">
      <c r="A12" s="48" t="s">
        <v>73</v>
      </c>
      <c r="B12" s="48"/>
      <c r="C12" s="48" t="s">
        <v>241</v>
      </c>
      <c r="D12" s="54" t="s">
        <v>147</v>
      </c>
      <c r="E12" s="52">
        <v>0</v>
      </c>
      <c r="F12" s="50">
        <f t="shared" si="0"/>
        <v>0</v>
      </c>
      <c r="G12" s="42" t="str">
        <f t="shared" si="9"/>
        <v xml:space="preserve"> </v>
      </c>
      <c r="H12" s="155">
        <f t="shared" si="10"/>
        <v>0</v>
      </c>
      <c r="I12" s="74">
        <f t="shared" si="1"/>
        <v>0</v>
      </c>
      <c r="J12" s="53">
        <v>45108</v>
      </c>
      <c r="K12" s="158" t="s">
        <v>58</v>
      </c>
      <c r="L12" s="159">
        <v>2023</v>
      </c>
      <c r="M12" s="159">
        <v>2023</v>
      </c>
      <c r="N12" s="54" t="s">
        <v>82</v>
      </c>
      <c r="O12" s="3">
        <v>11</v>
      </c>
      <c r="P12" s="38">
        <f>IF(M12=" "," ",SUMPRODUCT((K12='Calculator Data Summary'!$A$8:$A$19)*('Rev Req''t_yrs 1-3'!M12='Calculator Data Summary'!$G$7:$I$7)*'Calculator Data Summary'!$G$8:$I$19))</f>
        <v>120.7</v>
      </c>
      <c r="Q12" s="9">
        <f t="shared" si="3"/>
        <v>1448.4</v>
      </c>
      <c r="R12" s="74" t="str">
        <f t="shared" si="4"/>
        <v xml:space="preserve"> </v>
      </c>
      <c r="S12" s="74" t="str">
        <f t="shared" si="5"/>
        <v xml:space="preserve"> </v>
      </c>
      <c r="T12" s="38">
        <f>IF(M12=" "," ",SUMPRODUCT((K12='Calculator Data Summary'!$A$8:$A$19)*('Rev Req''t_yrs 1-3'!M12='Calculator Data Summary'!$O$7:$Q$7)*'Calculator Data Summary'!$O$8:$Q$19))</f>
        <v>101.29000000000002</v>
      </c>
      <c r="U12" s="9">
        <f t="shared" si="6"/>
        <v>1215.4800000000002</v>
      </c>
      <c r="V12" s="74" t="str">
        <f t="shared" si="7"/>
        <v xml:space="preserve"> </v>
      </c>
      <c r="W12" s="74" t="str">
        <f t="shared" si="8"/>
        <v xml:space="preserve"> </v>
      </c>
    </row>
    <row r="13" spans="1:23" x14ac:dyDescent="0.55000000000000004">
      <c r="A13" s="48" t="s">
        <v>73</v>
      </c>
      <c r="B13" s="48" t="s">
        <v>247</v>
      </c>
      <c r="C13" s="48" t="s">
        <v>242</v>
      </c>
      <c r="D13" s="54" t="s">
        <v>147</v>
      </c>
      <c r="E13" s="52">
        <f>E11+16102000</f>
        <v>499863000</v>
      </c>
      <c r="F13" s="50">
        <f t="shared" si="0"/>
        <v>16102000</v>
      </c>
      <c r="G13" s="42">
        <f t="shared" si="9"/>
        <v>3.328503124476756E-2</v>
      </c>
      <c r="H13" s="155">
        <f>IF(E13=0,0,E13-$E$4)</f>
        <v>84533985</v>
      </c>
      <c r="I13" s="74">
        <f>IF(H13=" "," ",H13/$E$4)</f>
        <v>0.20353498538983605</v>
      </c>
      <c r="J13" s="53">
        <v>45292</v>
      </c>
      <c r="K13" s="158" t="s">
        <v>52</v>
      </c>
      <c r="L13" s="159">
        <v>2024</v>
      </c>
      <c r="M13" s="159">
        <v>2024</v>
      </c>
      <c r="N13" s="54" t="s">
        <v>82</v>
      </c>
      <c r="O13" s="3">
        <f t="shared" si="2"/>
        <v>11</v>
      </c>
      <c r="P13" s="38">
        <f>IF(M13=" "," ",SUMPRODUCT((K13='Calculator Data Summary'!$A$8:$A$19)*('Rev Req''t_yrs 1-3'!M13='Calculator Data Summary'!$G$7:$I$7)*'Calculator Data Summary'!$G$8:$I$19))</f>
        <v>119.33477235659757</v>
      </c>
      <c r="Q13" s="9">
        <f t="shared" si="3"/>
        <v>1432.0172682791708</v>
      </c>
      <c r="R13" s="74">
        <f t="shared" si="4"/>
        <v>-1.1310916681047509E-2</v>
      </c>
      <c r="S13" s="74">
        <f t="shared" si="5"/>
        <v>0.14185027611326728</v>
      </c>
      <c r="T13" s="38">
        <f>IF(M13=" "," ",SUMPRODUCT((K13='Calculator Data Summary'!$A$8:$A$19)*('Rev Req''t_yrs 1-3'!M13='Calculator Data Summary'!$O$7:$Q$7)*'Calculator Data Summary'!$O$8:$Q$19))</f>
        <v>100.13477235659758</v>
      </c>
      <c r="U13" s="9">
        <f t="shared" si="6"/>
        <v>1201.617268279171</v>
      </c>
      <c r="V13" s="74">
        <f t="shared" si="7"/>
        <v>-1.1405149999036829E-2</v>
      </c>
      <c r="W13" s="74">
        <f t="shared" si="8"/>
        <v>0.14374383045799638</v>
      </c>
    </row>
    <row r="14" spans="1:23" x14ac:dyDescent="0.55000000000000004">
      <c r="A14" s="48" t="s">
        <v>73</v>
      </c>
      <c r="B14" s="48" t="s">
        <v>248</v>
      </c>
      <c r="C14" s="48" t="s">
        <v>243</v>
      </c>
      <c r="D14" s="54" t="s">
        <v>147</v>
      </c>
      <c r="E14" s="52">
        <v>0</v>
      </c>
      <c r="F14" s="50">
        <f t="shared" si="0"/>
        <v>0</v>
      </c>
      <c r="G14" s="42" t="str">
        <f t="shared" si="9"/>
        <v xml:space="preserve"> </v>
      </c>
      <c r="H14" s="155">
        <f t="shared" si="10"/>
        <v>0</v>
      </c>
      <c r="I14" s="74">
        <f t="shared" si="1"/>
        <v>0</v>
      </c>
      <c r="J14" s="53">
        <v>45383</v>
      </c>
      <c r="K14" s="158" t="s">
        <v>55</v>
      </c>
      <c r="L14" s="159">
        <v>2024</v>
      </c>
      <c r="M14" s="159">
        <v>2024</v>
      </c>
      <c r="N14" s="54" t="s">
        <v>82</v>
      </c>
      <c r="O14" s="3">
        <v>11</v>
      </c>
      <c r="P14" s="38">
        <f>IF(M14=" "," ",SUMPRODUCT((K14='Calculator Data Summary'!$A$8:$A$19)*('Rev Req''t_yrs 1-3'!M14='Calculator Data Summary'!$G$7:$I$7)*'Calculator Data Summary'!$G$8:$I$19))</f>
        <v>119.33477235659757</v>
      </c>
      <c r="Q14" s="9">
        <f t="shared" si="3"/>
        <v>1432.0172682791708</v>
      </c>
      <c r="R14" s="74">
        <f t="shared" si="4"/>
        <v>-1.1310916681047509E-2</v>
      </c>
      <c r="S14" s="74">
        <f t="shared" si="5"/>
        <v>0.14185027611326728</v>
      </c>
      <c r="T14" s="38">
        <f>IF(M14=" "," ",SUMPRODUCT((K14='Calculator Data Summary'!$A$8:$A$19)*('Rev Req''t_yrs 1-3'!M14='Calculator Data Summary'!$O$7:$Q$7)*'Calculator Data Summary'!$O$8:$Q$19))</f>
        <v>100.13477235659758</v>
      </c>
      <c r="U14" s="9">
        <f t="shared" si="6"/>
        <v>1201.617268279171</v>
      </c>
      <c r="V14" s="74">
        <f t="shared" si="7"/>
        <v>-1.1405149999036829E-2</v>
      </c>
      <c r="W14" s="74">
        <f t="shared" si="8"/>
        <v>0.14374383045799638</v>
      </c>
    </row>
    <row r="15" spans="1:23" x14ac:dyDescent="0.55000000000000004">
      <c r="A15" s="48" t="s">
        <v>73</v>
      </c>
      <c r="B15" s="48"/>
      <c r="C15" s="48" t="s">
        <v>244</v>
      </c>
      <c r="D15" s="54" t="s">
        <v>147</v>
      </c>
      <c r="E15" s="52">
        <v>0</v>
      </c>
      <c r="F15" s="50">
        <f t="shared" si="0"/>
        <v>0</v>
      </c>
      <c r="G15" s="42" t="str">
        <f t="shared" si="9"/>
        <v xml:space="preserve"> </v>
      </c>
      <c r="H15" s="155">
        <f t="shared" si="10"/>
        <v>0</v>
      </c>
      <c r="I15" s="74">
        <f t="shared" si="1"/>
        <v>0</v>
      </c>
      <c r="J15" s="53">
        <v>45474</v>
      </c>
      <c r="K15" s="158" t="s">
        <v>58</v>
      </c>
      <c r="L15" s="159">
        <v>2024</v>
      </c>
      <c r="M15" s="159">
        <v>2024</v>
      </c>
      <c r="N15" s="54" t="s">
        <v>82</v>
      </c>
      <c r="O15" s="3">
        <v>11</v>
      </c>
      <c r="P15" s="38">
        <f>IF(M15=" "," ",SUMPRODUCT((K15='Calculator Data Summary'!$A$8:$A$19)*('Rev Req''t_yrs 1-3'!M15='Calculator Data Summary'!$G$7:$I$7)*'Calculator Data Summary'!$G$8:$I$19))</f>
        <v>119.33477235659757</v>
      </c>
      <c r="Q15" s="9">
        <f t="shared" si="3"/>
        <v>1432.0172682791708</v>
      </c>
      <c r="R15" s="74" t="str">
        <f t="shared" si="4"/>
        <v xml:space="preserve"> </v>
      </c>
      <c r="S15" s="74" t="str">
        <f t="shared" ref="S15" si="11">IF(B15=0," ",(P15-$P$4)/$P$4)</f>
        <v xml:space="preserve"> </v>
      </c>
      <c r="T15" s="38">
        <f>IF(M15=" "," ",SUMPRODUCT((K15='Calculator Data Summary'!$A$8:$A$19)*('Rev Req''t_yrs 1-3'!M15='Calculator Data Summary'!$O$7:$Q$7)*'Calculator Data Summary'!$O$8:$Q$19))</f>
        <v>100.13477235659758</v>
      </c>
      <c r="U15" s="9">
        <f t="shared" si="6"/>
        <v>1201.617268279171</v>
      </c>
      <c r="V15" s="74" t="str">
        <f t="shared" si="7"/>
        <v xml:space="preserve"> </v>
      </c>
      <c r="W15" s="74" t="str">
        <f t="shared" si="8"/>
        <v xml:space="preserve"> </v>
      </c>
    </row>
    <row r="16" spans="1:23" x14ac:dyDescent="0.55000000000000004">
      <c r="A16" s="48" t="s">
        <v>73</v>
      </c>
      <c r="B16" s="48"/>
      <c r="C16" s="48" t="s">
        <v>245</v>
      </c>
      <c r="D16" s="54" t="s">
        <v>147</v>
      </c>
      <c r="E16" s="52">
        <v>0</v>
      </c>
      <c r="F16" s="50">
        <f t="shared" si="0"/>
        <v>0</v>
      </c>
      <c r="G16" s="42" t="str">
        <f t="shared" si="9"/>
        <v xml:space="preserve"> </v>
      </c>
      <c r="H16" s="155">
        <f t="shared" si="10"/>
        <v>0</v>
      </c>
      <c r="I16" s="74">
        <f t="shared" si="1"/>
        <v>0</v>
      </c>
      <c r="J16" s="53">
        <v>45658</v>
      </c>
      <c r="K16" s="158" t="s">
        <v>52</v>
      </c>
      <c r="L16" s="159">
        <v>2025</v>
      </c>
      <c r="M16" s="159">
        <v>2025</v>
      </c>
      <c r="N16" s="54" t="s">
        <v>82</v>
      </c>
      <c r="O16" s="3">
        <v>11</v>
      </c>
      <c r="P16" s="38">
        <f>IF(M16=" "," ",SUMPRODUCT((K16='Calculator Data Summary'!$A$8:$A$19)*('Rev Req''t_yrs 1-3'!M16='Calculator Data Summary'!$G$7:$I$7)*'Calculator Data Summary'!$G$8:$I$19))</f>
        <v>0</v>
      </c>
      <c r="Q16" s="9">
        <f t="shared" si="3"/>
        <v>0</v>
      </c>
      <c r="R16" s="74" t="str">
        <f t="shared" si="4"/>
        <v xml:space="preserve"> </v>
      </c>
      <c r="S16" s="74" t="str">
        <f t="shared" si="5"/>
        <v xml:space="preserve"> </v>
      </c>
      <c r="T16" s="38">
        <f>IF(M16=" "," ",SUMPRODUCT((K16='Calculator Data Summary'!$A$8:$A$19)*('Rev Req''t_yrs 1-3'!M16='Calculator Data Summary'!$O$7:$Q$7)*'Calculator Data Summary'!$O$8:$Q$19))</f>
        <v>0</v>
      </c>
      <c r="U16" s="9">
        <f t="shared" si="6"/>
        <v>0</v>
      </c>
      <c r="V16" s="74" t="str">
        <f t="shared" si="7"/>
        <v xml:space="preserve"> </v>
      </c>
      <c r="W16" s="74" t="str">
        <f t="shared" si="8"/>
        <v xml:space="preserve"> </v>
      </c>
    </row>
    <row r="17" spans="1:23" x14ac:dyDescent="0.55000000000000004">
      <c r="A17" s="48" t="s">
        <v>73</v>
      </c>
      <c r="B17" s="48" t="s">
        <v>248</v>
      </c>
      <c r="C17" s="48" t="s">
        <v>243</v>
      </c>
      <c r="D17" s="54" t="s">
        <v>147</v>
      </c>
      <c r="E17" s="52">
        <v>0</v>
      </c>
      <c r="F17" s="50">
        <f t="shared" si="0"/>
        <v>0</v>
      </c>
      <c r="G17" s="42" t="str">
        <f t="shared" si="9"/>
        <v xml:space="preserve"> </v>
      </c>
      <c r="H17" s="155">
        <f t="shared" si="10"/>
        <v>0</v>
      </c>
      <c r="I17" s="74">
        <f t="shared" si="1"/>
        <v>0</v>
      </c>
      <c r="J17" s="53">
        <v>45748</v>
      </c>
      <c r="K17" s="158" t="s">
        <v>55</v>
      </c>
      <c r="L17" s="159">
        <v>2025</v>
      </c>
      <c r="M17" s="159">
        <v>2025</v>
      </c>
      <c r="N17" s="54" t="s">
        <v>82</v>
      </c>
      <c r="O17" s="3">
        <v>11</v>
      </c>
      <c r="P17" s="38">
        <f>IF(M17=" "," ",SUMPRODUCT((K17='Calculator Data Summary'!$A$8:$A$19)*('Rev Req''t_yrs 1-3'!M17='Calculator Data Summary'!$G$7:$I$7)*'Calculator Data Summary'!$G$8:$I$19))</f>
        <v>0</v>
      </c>
      <c r="Q17" s="9">
        <f t="shared" si="3"/>
        <v>0</v>
      </c>
      <c r="R17" s="74">
        <f t="shared" si="4"/>
        <v>-1</v>
      </c>
      <c r="S17" s="74">
        <f t="shared" si="5"/>
        <v>-1</v>
      </c>
      <c r="T17" s="38">
        <f>IF(M17=" "," ",SUMPRODUCT((K17='Calculator Data Summary'!$A$8:$A$19)*('Rev Req''t_yrs 1-3'!M17='Calculator Data Summary'!$O$7:$Q$7)*'Calculator Data Summary'!$O$8:$Q$19))</f>
        <v>0</v>
      </c>
      <c r="U17" s="9">
        <f t="shared" si="6"/>
        <v>0</v>
      </c>
      <c r="V17" s="74">
        <f t="shared" si="7"/>
        <v>-1</v>
      </c>
      <c r="W17" s="74">
        <f t="shared" si="8"/>
        <v>-1</v>
      </c>
    </row>
    <row r="18" spans="1:23" x14ac:dyDescent="0.55000000000000004">
      <c r="A18" s="48" t="s">
        <v>73</v>
      </c>
      <c r="B18" s="48"/>
      <c r="C18" s="48" t="s">
        <v>246</v>
      </c>
      <c r="D18" s="54" t="s">
        <v>147</v>
      </c>
      <c r="E18" s="52">
        <v>0</v>
      </c>
      <c r="F18" s="50">
        <f t="shared" si="0"/>
        <v>0</v>
      </c>
      <c r="G18" s="42" t="str">
        <f t="shared" si="9"/>
        <v xml:space="preserve"> </v>
      </c>
      <c r="H18" s="155">
        <f t="shared" si="10"/>
        <v>0</v>
      </c>
      <c r="I18" s="74">
        <f t="shared" si="1"/>
        <v>0</v>
      </c>
      <c r="J18" s="53">
        <v>45839</v>
      </c>
      <c r="K18" s="158" t="s">
        <v>58</v>
      </c>
      <c r="L18" s="159">
        <v>2025</v>
      </c>
      <c r="M18" s="159">
        <v>2025</v>
      </c>
      <c r="N18" s="54" t="s">
        <v>82</v>
      </c>
      <c r="O18" s="3">
        <v>11</v>
      </c>
      <c r="P18" s="38">
        <f>IF(M18=" "," ",SUMPRODUCT((K18='Calculator Data Summary'!$A$8:$A$19)*('Rev Req''t_yrs 1-3'!M18='Calculator Data Summary'!$G$7:$I$7)*'Calculator Data Summary'!$G$8:$I$19))</f>
        <v>0</v>
      </c>
      <c r="Q18" s="9">
        <f t="shared" si="3"/>
        <v>0</v>
      </c>
      <c r="R18" s="74" t="str">
        <f t="shared" si="4"/>
        <v xml:space="preserve"> </v>
      </c>
      <c r="S18" s="74" t="str">
        <f t="shared" si="5"/>
        <v xml:space="preserve"> </v>
      </c>
      <c r="T18" s="38">
        <f>IF(M18=" "," ",SUMPRODUCT((K18='Calculator Data Summary'!$A$8:$A$19)*('Rev Req''t_yrs 1-3'!M18='Calculator Data Summary'!$O$7:$Q$7)*'Calculator Data Summary'!$O$8:$Q$19))</f>
        <v>0</v>
      </c>
      <c r="U18" s="9">
        <f t="shared" si="6"/>
        <v>0</v>
      </c>
      <c r="V18" s="74" t="str">
        <f t="shared" si="7"/>
        <v xml:space="preserve"> </v>
      </c>
      <c r="W18" s="74" t="str">
        <f t="shared" si="8"/>
        <v xml:space="preserve"> </v>
      </c>
    </row>
    <row r="19" spans="1:23" x14ac:dyDescent="0.55000000000000004">
      <c r="A19" s="48"/>
      <c r="B19" s="48"/>
      <c r="C19" s="48"/>
      <c r="D19" s="54"/>
      <c r="E19" s="52"/>
      <c r="F19" s="50">
        <f t="shared" si="0"/>
        <v>0</v>
      </c>
      <c r="G19" s="42" t="str">
        <f t="shared" si="9"/>
        <v xml:space="preserve"> </v>
      </c>
      <c r="H19" s="155">
        <f t="shared" si="10"/>
        <v>0</v>
      </c>
      <c r="I19" s="74">
        <f t="shared" si="1"/>
        <v>0</v>
      </c>
      <c r="J19" s="54"/>
      <c r="K19" s="158" t="str">
        <f t="shared" ref="K19:K50" si="12">IF(J19=0," ",IF(DAY(J19)&lt;=14,TEXT(J19,"mmmm"),TEXT(EOMONTH(J19,1),"mmmm")))</f>
        <v xml:space="preserve"> </v>
      </c>
      <c r="L19" s="159" t="str">
        <f t="shared" ref="L19:L50" si="13">IF(J19=0," ",YEAR(J19))</f>
        <v xml:space="preserve"> </v>
      </c>
      <c r="M19" s="159" t="str">
        <f t="shared" ref="M19:M50" si="14">IF(J19=0," ",IF(AND(MONTH(J19)=12,K19="January"),YEAR(J19)+1,YEAR(J19)))</f>
        <v xml:space="preserve"> </v>
      </c>
      <c r="N19" s="54"/>
      <c r="O19" s="3" t="str">
        <f t="shared" si="2"/>
        <v xml:space="preserve"> </v>
      </c>
      <c r="P19" s="38" t="str">
        <f>IF(M19=" "," ",SUMPRODUCT((K19='Calculator Data Summary'!$A$8:$A$19)*('Rev Req''t_yrs 1-3'!M19='Calculator Data Summary'!$G$7:$I$7)*'Calculator Data Summary'!$G$8:$I$19))</f>
        <v xml:space="preserve"> </v>
      </c>
      <c r="Q19" s="9" t="str">
        <f t="shared" si="3"/>
        <v xml:space="preserve"> </v>
      </c>
      <c r="R19" s="74" t="str">
        <f t="shared" si="4"/>
        <v xml:space="preserve"> </v>
      </c>
      <c r="S19" s="74" t="str">
        <f t="shared" si="5"/>
        <v xml:space="preserve"> </v>
      </c>
      <c r="T19" s="38" t="str">
        <f>IF(M19=" "," ",SUMPRODUCT((K19='Calculator Data Summary'!$A$8:$A$19)*('Rev Req''t_yrs 1-3'!M19='Calculator Data Summary'!$O$7:$Q$7)*'Calculator Data Summary'!$O$8:$Q$19))</f>
        <v xml:space="preserve"> </v>
      </c>
      <c r="U19" s="9" t="str">
        <f t="shared" si="6"/>
        <v xml:space="preserve"> </v>
      </c>
      <c r="V19" s="74" t="str">
        <f t="shared" si="7"/>
        <v xml:space="preserve"> </v>
      </c>
      <c r="W19" s="74" t="str">
        <f t="shared" si="8"/>
        <v xml:space="preserve"> </v>
      </c>
    </row>
    <row r="20" spans="1:23" x14ac:dyDescent="0.55000000000000004">
      <c r="A20" s="48"/>
      <c r="B20" s="48"/>
      <c r="C20" s="48"/>
      <c r="D20" s="54"/>
      <c r="E20" s="52"/>
      <c r="F20" s="50">
        <f t="shared" si="0"/>
        <v>0</v>
      </c>
      <c r="G20" s="42" t="str">
        <f t="shared" si="9"/>
        <v xml:space="preserve"> </v>
      </c>
      <c r="H20" s="155">
        <f t="shared" si="10"/>
        <v>0</v>
      </c>
      <c r="I20" s="74">
        <f t="shared" si="1"/>
        <v>0</v>
      </c>
      <c r="J20" s="54"/>
      <c r="K20" s="158" t="str">
        <f t="shared" si="12"/>
        <v xml:space="preserve"> </v>
      </c>
      <c r="L20" s="159" t="str">
        <f t="shared" si="13"/>
        <v xml:space="preserve"> </v>
      </c>
      <c r="M20" s="159" t="str">
        <f t="shared" si="14"/>
        <v xml:space="preserve"> </v>
      </c>
      <c r="N20" s="54"/>
      <c r="O20" s="3" t="str">
        <f t="shared" si="2"/>
        <v xml:space="preserve"> </v>
      </c>
      <c r="P20" s="38" t="str">
        <f>IF(M20=" "," ",SUMPRODUCT((K20='Calculator Data Summary'!$A$8:$A$19)*('Rev Req''t_yrs 1-3'!M20='Calculator Data Summary'!$G$7:$I$7)*'Calculator Data Summary'!$G$8:$I$19))</f>
        <v xml:space="preserve"> </v>
      </c>
      <c r="Q20" s="9" t="str">
        <f t="shared" si="3"/>
        <v xml:space="preserve"> </v>
      </c>
      <c r="R20" s="74" t="str">
        <f t="shared" si="4"/>
        <v xml:space="preserve"> </v>
      </c>
      <c r="S20" s="74" t="str">
        <f t="shared" si="5"/>
        <v xml:space="preserve"> </v>
      </c>
      <c r="T20" s="38" t="str">
        <f>IF(M20=" "," ",SUMPRODUCT((K20='Calculator Data Summary'!$A$8:$A$19)*('Rev Req''t_yrs 1-3'!M20='Calculator Data Summary'!$O$7:$Q$7)*'Calculator Data Summary'!$O$8:$Q$19))</f>
        <v xml:space="preserve"> </v>
      </c>
      <c r="U20" s="9" t="str">
        <f t="shared" si="6"/>
        <v xml:space="preserve"> </v>
      </c>
      <c r="V20" s="74" t="str">
        <f t="shared" si="7"/>
        <v xml:space="preserve"> </v>
      </c>
      <c r="W20" s="74" t="str">
        <f t="shared" si="8"/>
        <v xml:space="preserve"> </v>
      </c>
    </row>
    <row r="21" spans="1:23" x14ac:dyDescent="0.55000000000000004">
      <c r="A21" s="48"/>
      <c r="B21" s="48"/>
      <c r="C21" s="48"/>
      <c r="D21" s="54"/>
      <c r="E21" s="52"/>
      <c r="F21" s="50">
        <f t="shared" si="0"/>
        <v>0</v>
      </c>
      <c r="G21" s="42" t="str">
        <f t="shared" si="9"/>
        <v xml:space="preserve"> </v>
      </c>
      <c r="H21" s="155">
        <f t="shared" si="10"/>
        <v>0</v>
      </c>
      <c r="I21" s="74">
        <f t="shared" si="1"/>
        <v>0</v>
      </c>
      <c r="J21" s="54"/>
      <c r="K21" s="158" t="str">
        <f t="shared" si="12"/>
        <v xml:space="preserve"> </v>
      </c>
      <c r="L21" s="159" t="str">
        <f t="shared" si="13"/>
        <v xml:space="preserve"> </v>
      </c>
      <c r="M21" s="159" t="str">
        <f t="shared" si="14"/>
        <v xml:space="preserve"> </v>
      </c>
      <c r="N21" s="54"/>
      <c r="O21" s="3" t="str">
        <f t="shared" si="2"/>
        <v xml:space="preserve"> </v>
      </c>
      <c r="P21" s="38" t="str">
        <f>IF(M21=" "," ",SUMPRODUCT((K21='Calculator Data Summary'!$A$8:$A$19)*('Rev Req''t_yrs 1-3'!M21='Calculator Data Summary'!$G$7:$I$7)*'Calculator Data Summary'!$G$8:$I$19))</f>
        <v xml:space="preserve"> </v>
      </c>
      <c r="Q21" s="9" t="str">
        <f t="shared" si="3"/>
        <v xml:space="preserve"> </v>
      </c>
      <c r="R21" s="74" t="str">
        <f t="shared" si="4"/>
        <v xml:space="preserve"> </v>
      </c>
      <c r="S21" s="74" t="str">
        <f t="shared" si="5"/>
        <v xml:space="preserve"> </v>
      </c>
      <c r="T21" s="38" t="str">
        <f>IF(M21=" "," ",SUMPRODUCT((K21='Calculator Data Summary'!$A$8:$A$19)*('Rev Req''t_yrs 1-3'!M21='Calculator Data Summary'!$O$7:$Q$7)*'Calculator Data Summary'!$O$8:$Q$19))</f>
        <v xml:space="preserve"> </v>
      </c>
      <c r="U21" s="9" t="str">
        <f t="shared" si="6"/>
        <v xml:space="preserve"> </v>
      </c>
      <c r="V21" s="74" t="str">
        <f t="shared" si="7"/>
        <v xml:space="preserve"> </v>
      </c>
      <c r="W21" s="74" t="str">
        <f t="shared" si="8"/>
        <v xml:space="preserve"> </v>
      </c>
    </row>
    <row r="22" spans="1:23" x14ac:dyDescent="0.55000000000000004">
      <c r="A22" s="48"/>
      <c r="B22" s="48"/>
      <c r="C22" s="48"/>
      <c r="D22" s="54"/>
      <c r="E22" s="52"/>
      <c r="F22" s="50">
        <f t="shared" si="0"/>
        <v>0</v>
      </c>
      <c r="G22" s="42" t="str">
        <f t="shared" si="9"/>
        <v xml:space="preserve"> </v>
      </c>
      <c r="H22" s="155">
        <f t="shared" si="10"/>
        <v>0</v>
      </c>
      <c r="I22" s="74">
        <f t="shared" si="1"/>
        <v>0</v>
      </c>
      <c r="J22" s="54"/>
      <c r="K22" s="158" t="str">
        <f t="shared" si="12"/>
        <v xml:space="preserve"> </v>
      </c>
      <c r="L22" s="159" t="str">
        <f t="shared" si="13"/>
        <v xml:space="preserve"> </v>
      </c>
      <c r="M22" s="159" t="str">
        <f t="shared" si="14"/>
        <v xml:space="preserve"> </v>
      </c>
      <c r="N22" s="54"/>
      <c r="O22" s="3" t="str">
        <f t="shared" si="2"/>
        <v xml:space="preserve"> </v>
      </c>
      <c r="P22" s="38" t="str">
        <f>IF(M22=" "," ",SUMPRODUCT((K22='Calculator Data Summary'!$A$8:$A$19)*('Rev Req''t_yrs 1-3'!M22='Calculator Data Summary'!$G$7:$I$7)*'Calculator Data Summary'!$G$8:$I$19))</f>
        <v xml:space="preserve"> </v>
      </c>
      <c r="Q22" s="9" t="str">
        <f t="shared" si="3"/>
        <v xml:space="preserve"> </v>
      </c>
      <c r="R22" s="74" t="str">
        <f t="shared" si="4"/>
        <v xml:space="preserve"> </v>
      </c>
      <c r="S22" s="74" t="str">
        <f t="shared" si="5"/>
        <v xml:space="preserve"> </v>
      </c>
      <c r="T22" s="38" t="str">
        <f>IF(M22=" "," ",SUMPRODUCT((K22='Calculator Data Summary'!$A$8:$A$19)*('Rev Req''t_yrs 1-3'!M22='Calculator Data Summary'!$O$7:$Q$7)*'Calculator Data Summary'!$O$8:$Q$19))</f>
        <v xml:space="preserve"> </v>
      </c>
      <c r="U22" s="9" t="str">
        <f t="shared" si="6"/>
        <v xml:space="preserve"> </v>
      </c>
      <c r="V22" s="74" t="str">
        <f t="shared" si="7"/>
        <v xml:space="preserve"> </v>
      </c>
      <c r="W22" s="74" t="str">
        <f t="shared" si="8"/>
        <v xml:space="preserve"> </v>
      </c>
    </row>
    <row r="23" spans="1:23" x14ac:dyDescent="0.55000000000000004">
      <c r="A23" s="48"/>
      <c r="B23" s="48"/>
      <c r="C23" s="48"/>
      <c r="D23" s="54"/>
      <c r="E23" s="52"/>
      <c r="F23" s="50">
        <f t="shared" si="0"/>
        <v>0</v>
      </c>
      <c r="G23" s="42" t="str">
        <f t="shared" si="9"/>
        <v xml:space="preserve"> </v>
      </c>
      <c r="H23" s="155">
        <f t="shared" si="10"/>
        <v>0</v>
      </c>
      <c r="I23" s="74">
        <f t="shared" si="1"/>
        <v>0</v>
      </c>
      <c r="J23" s="54"/>
      <c r="K23" s="158" t="str">
        <f t="shared" si="12"/>
        <v xml:space="preserve"> </v>
      </c>
      <c r="L23" s="159" t="str">
        <f t="shared" si="13"/>
        <v xml:space="preserve"> </v>
      </c>
      <c r="M23" s="159" t="str">
        <f t="shared" si="14"/>
        <v xml:space="preserve"> </v>
      </c>
      <c r="N23" s="54"/>
      <c r="O23" s="3" t="str">
        <f t="shared" si="2"/>
        <v xml:space="preserve"> </v>
      </c>
      <c r="P23" s="38" t="str">
        <f>IF(M23=" "," ",SUMPRODUCT((K23='Calculator Data Summary'!$A$8:$A$19)*('Rev Req''t_yrs 1-3'!M23='Calculator Data Summary'!$G$7:$I$7)*'Calculator Data Summary'!$G$8:$I$19))</f>
        <v xml:space="preserve"> </v>
      </c>
      <c r="Q23" s="9" t="str">
        <f t="shared" si="3"/>
        <v xml:space="preserve"> </v>
      </c>
      <c r="R23" s="74" t="str">
        <f t="shared" si="4"/>
        <v xml:space="preserve"> </v>
      </c>
      <c r="S23" s="74" t="str">
        <f t="shared" si="5"/>
        <v xml:space="preserve"> </v>
      </c>
      <c r="T23" s="38" t="str">
        <f>IF(M23=" "," ",SUMPRODUCT((K23='Calculator Data Summary'!$A$8:$A$19)*('Rev Req''t_yrs 1-3'!M23='Calculator Data Summary'!$O$7:$Q$7)*'Calculator Data Summary'!$O$8:$Q$19))</f>
        <v xml:space="preserve"> </v>
      </c>
      <c r="U23" s="9" t="str">
        <f t="shared" si="6"/>
        <v xml:space="preserve"> </v>
      </c>
      <c r="V23" s="74" t="str">
        <f t="shared" si="7"/>
        <v xml:space="preserve"> </v>
      </c>
      <c r="W23" s="74" t="str">
        <f t="shared" si="8"/>
        <v xml:space="preserve"> </v>
      </c>
    </row>
    <row r="24" spans="1:23" x14ac:dyDescent="0.55000000000000004">
      <c r="A24" s="48"/>
      <c r="B24" s="48"/>
      <c r="C24" s="48"/>
      <c r="D24" s="54"/>
      <c r="E24" s="52"/>
      <c r="F24" s="50">
        <f t="shared" si="0"/>
        <v>0</v>
      </c>
      <c r="G24" s="42" t="str">
        <f t="shared" si="9"/>
        <v xml:space="preserve"> </v>
      </c>
      <c r="H24" s="155">
        <f t="shared" si="10"/>
        <v>0</v>
      </c>
      <c r="I24" s="74">
        <f t="shared" si="1"/>
        <v>0</v>
      </c>
      <c r="J24" s="54"/>
      <c r="K24" s="158" t="str">
        <f t="shared" si="12"/>
        <v xml:space="preserve"> </v>
      </c>
      <c r="L24" s="159" t="str">
        <f t="shared" si="13"/>
        <v xml:space="preserve"> </v>
      </c>
      <c r="M24" s="159" t="str">
        <f t="shared" si="14"/>
        <v xml:space="preserve"> </v>
      </c>
      <c r="N24" s="54"/>
      <c r="O24" s="3" t="str">
        <f t="shared" si="2"/>
        <v xml:space="preserve"> </v>
      </c>
      <c r="P24" s="38" t="str">
        <f>IF(M24=" "," ",SUMPRODUCT((K24='Calculator Data Summary'!$A$8:$A$19)*('Rev Req''t_yrs 1-3'!M24='Calculator Data Summary'!$G$7:$I$7)*'Calculator Data Summary'!$G$8:$I$19))</f>
        <v xml:space="preserve"> </v>
      </c>
      <c r="Q24" s="9" t="str">
        <f t="shared" si="3"/>
        <v xml:space="preserve"> </v>
      </c>
      <c r="R24" s="74" t="str">
        <f t="shared" si="4"/>
        <v xml:space="preserve"> </v>
      </c>
      <c r="S24" s="74" t="str">
        <f t="shared" si="5"/>
        <v xml:space="preserve"> </v>
      </c>
      <c r="T24" s="38" t="str">
        <f>IF(M24=" "," ",SUMPRODUCT((K24='Calculator Data Summary'!$A$8:$A$19)*('Rev Req''t_yrs 1-3'!M24='Calculator Data Summary'!$O$7:$Q$7)*'Calculator Data Summary'!$O$8:$Q$19))</f>
        <v xml:space="preserve"> </v>
      </c>
      <c r="U24" s="9" t="str">
        <f t="shared" si="6"/>
        <v xml:space="preserve"> </v>
      </c>
      <c r="V24" s="74" t="str">
        <f t="shared" si="7"/>
        <v xml:space="preserve"> </v>
      </c>
      <c r="W24" s="74" t="str">
        <f t="shared" si="8"/>
        <v xml:space="preserve"> </v>
      </c>
    </row>
    <row r="25" spans="1:23" x14ac:dyDescent="0.55000000000000004">
      <c r="A25" s="48"/>
      <c r="B25" s="48"/>
      <c r="C25" s="48"/>
      <c r="D25" s="54"/>
      <c r="E25" s="52"/>
      <c r="F25" s="50">
        <f t="shared" si="0"/>
        <v>0</v>
      </c>
      <c r="G25" s="42" t="str">
        <f t="shared" si="9"/>
        <v xml:space="preserve"> </v>
      </c>
      <c r="H25" s="155">
        <f t="shared" si="10"/>
        <v>0</v>
      </c>
      <c r="I25" s="74">
        <f t="shared" si="1"/>
        <v>0</v>
      </c>
      <c r="J25" s="54"/>
      <c r="K25" s="158" t="str">
        <f t="shared" si="12"/>
        <v xml:space="preserve"> </v>
      </c>
      <c r="L25" s="159" t="str">
        <f t="shared" si="13"/>
        <v xml:space="preserve"> </v>
      </c>
      <c r="M25" s="159" t="str">
        <f t="shared" si="14"/>
        <v xml:space="preserve"> </v>
      </c>
      <c r="N25" s="54"/>
      <c r="O25" s="3" t="str">
        <f t="shared" si="2"/>
        <v xml:space="preserve"> </v>
      </c>
      <c r="P25" s="38" t="str">
        <f>IF(M25=" "," ",SUMPRODUCT((K25='Calculator Data Summary'!$A$8:$A$19)*('Rev Req''t_yrs 1-3'!M25='Calculator Data Summary'!$G$7:$I$7)*'Calculator Data Summary'!$G$8:$I$19))</f>
        <v xml:space="preserve"> </v>
      </c>
      <c r="Q25" s="9" t="str">
        <f t="shared" si="3"/>
        <v xml:space="preserve"> </v>
      </c>
      <c r="R25" s="74" t="str">
        <f t="shared" si="4"/>
        <v xml:space="preserve"> </v>
      </c>
      <c r="S25" s="74" t="str">
        <f t="shared" si="5"/>
        <v xml:space="preserve"> </v>
      </c>
      <c r="T25" s="38" t="str">
        <f>IF(M25=" "," ",SUMPRODUCT((K25='Calculator Data Summary'!$A$8:$A$19)*('Rev Req''t_yrs 1-3'!M25='Calculator Data Summary'!$O$7:$Q$7)*'Calculator Data Summary'!$O$8:$Q$19))</f>
        <v xml:space="preserve"> </v>
      </c>
      <c r="U25" s="9" t="str">
        <f t="shared" si="6"/>
        <v xml:space="preserve"> </v>
      </c>
      <c r="V25" s="74" t="str">
        <f t="shared" si="7"/>
        <v xml:space="preserve"> </v>
      </c>
      <c r="W25" s="74" t="str">
        <f t="shared" si="8"/>
        <v xml:space="preserve"> </v>
      </c>
    </row>
    <row r="26" spans="1:23" x14ac:dyDescent="0.55000000000000004">
      <c r="A26" s="48"/>
      <c r="B26" s="48"/>
      <c r="C26" s="48"/>
      <c r="D26" s="54"/>
      <c r="E26" s="52"/>
      <c r="F26" s="50">
        <f t="shared" si="0"/>
        <v>0</v>
      </c>
      <c r="G26" s="42" t="str">
        <f t="shared" si="9"/>
        <v xml:space="preserve"> </v>
      </c>
      <c r="H26" s="155">
        <f t="shared" si="10"/>
        <v>0</v>
      </c>
      <c r="I26" s="74">
        <f t="shared" si="1"/>
        <v>0</v>
      </c>
      <c r="J26" s="54"/>
      <c r="K26" s="158" t="str">
        <f t="shared" si="12"/>
        <v xml:space="preserve"> </v>
      </c>
      <c r="L26" s="159" t="str">
        <f t="shared" si="13"/>
        <v xml:space="preserve"> </v>
      </c>
      <c r="M26" s="159" t="str">
        <f t="shared" si="14"/>
        <v xml:space="preserve"> </v>
      </c>
      <c r="N26" s="54"/>
      <c r="O26" s="3" t="str">
        <f t="shared" si="2"/>
        <v xml:space="preserve"> </v>
      </c>
      <c r="P26" s="38" t="str">
        <f>IF(M26=" "," ",SUMPRODUCT((K26='Calculator Data Summary'!$A$8:$A$19)*('Rev Req''t_yrs 1-3'!M26='Calculator Data Summary'!$G$7:$I$7)*'Calculator Data Summary'!$G$8:$I$19))</f>
        <v xml:space="preserve"> </v>
      </c>
      <c r="Q26" s="9" t="str">
        <f t="shared" si="3"/>
        <v xml:space="preserve"> </v>
      </c>
      <c r="R26" s="74" t="str">
        <f t="shared" si="4"/>
        <v xml:space="preserve"> </v>
      </c>
      <c r="S26" s="74" t="str">
        <f t="shared" si="5"/>
        <v xml:space="preserve"> </v>
      </c>
      <c r="T26" s="38" t="str">
        <f>IF(M26=" "," ",SUMPRODUCT((K26='Calculator Data Summary'!$A$8:$A$19)*('Rev Req''t_yrs 1-3'!M26='Calculator Data Summary'!$O$7:$Q$7)*'Calculator Data Summary'!$O$8:$Q$19))</f>
        <v xml:space="preserve"> </v>
      </c>
      <c r="U26" s="9" t="str">
        <f t="shared" si="6"/>
        <v xml:space="preserve"> </v>
      </c>
      <c r="V26" s="74" t="str">
        <f t="shared" si="7"/>
        <v xml:space="preserve"> </v>
      </c>
      <c r="W26" s="74" t="str">
        <f t="shared" si="8"/>
        <v xml:space="preserve"> </v>
      </c>
    </row>
    <row r="27" spans="1:23" x14ac:dyDescent="0.55000000000000004">
      <c r="A27" s="48"/>
      <c r="B27" s="48"/>
      <c r="C27" s="48"/>
      <c r="D27" s="54"/>
      <c r="E27" s="52"/>
      <c r="F27" s="50">
        <f t="shared" si="0"/>
        <v>0</v>
      </c>
      <c r="G27" s="42" t="str">
        <f t="shared" si="9"/>
        <v xml:space="preserve"> </v>
      </c>
      <c r="H27" s="155">
        <f t="shared" si="10"/>
        <v>0</v>
      </c>
      <c r="I27" s="74">
        <f t="shared" si="1"/>
        <v>0</v>
      </c>
      <c r="J27" s="54"/>
      <c r="K27" s="158" t="str">
        <f t="shared" si="12"/>
        <v xml:space="preserve"> </v>
      </c>
      <c r="L27" s="159" t="str">
        <f t="shared" si="13"/>
        <v xml:space="preserve"> </v>
      </c>
      <c r="M27" s="159" t="str">
        <f t="shared" si="14"/>
        <v xml:space="preserve"> </v>
      </c>
      <c r="N27" s="54"/>
      <c r="O27" s="3" t="str">
        <f t="shared" si="2"/>
        <v xml:space="preserve"> </v>
      </c>
      <c r="P27" s="38" t="str">
        <f>IF(M27=" "," ",SUMPRODUCT((K27='Calculator Data Summary'!$A$8:$A$19)*('Rev Req''t_yrs 1-3'!M27='Calculator Data Summary'!$G$7:$I$7)*'Calculator Data Summary'!$G$8:$I$19))</f>
        <v xml:space="preserve"> </v>
      </c>
      <c r="Q27" s="9" t="str">
        <f t="shared" si="3"/>
        <v xml:space="preserve"> </v>
      </c>
      <c r="R27" s="74" t="str">
        <f t="shared" si="4"/>
        <v xml:space="preserve"> </v>
      </c>
      <c r="S27" s="74" t="str">
        <f t="shared" si="5"/>
        <v xml:space="preserve"> </v>
      </c>
      <c r="T27" s="38" t="str">
        <f>IF(M27=" "," ",SUMPRODUCT((K27='Calculator Data Summary'!$A$8:$A$19)*('Rev Req''t_yrs 1-3'!M27='Calculator Data Summary'!$O$7:$Q$7)*'Calculator Data Summary'!$O$8:$Q$19))</f>
        <v xml:space="preserve"> </v>
      </c>
      <c r="U27" s="9" t="str">
        <f t="shared" si="6"/>
        <v xml:space="preserve"> </v>
      </c>
      <c r="V27" s="74" t="str">
        <f t="shared" si="7"/>
        <v xml:space="preserve"> </v>
      </c>
      <c r="W27" s="74" t="str">
        <f t="shared" si="8"/>
        <v xml:space="preserve"> </v>
      </c>
    </row>
    <row r="28" spans="1:23" x14ac:dyDescent="0.55000000000000004">
      <c r="A28" s="48"/>
      <c r="B28" s="48"/>
      <c r="C28" s="48"/>
      <c r="D28" s="54"/>
      <c r="E28" s="52"/>
      <c r="F28" s="50">
        <f t="shared" si="0"/>
        <v>0</v>
      </c>
      <c r="G28" s="42" t="str">
        <f t="shared" si="9"/>
        <v xml:space="preserve"> </v>
      </c>
      <c r="H28" s="155">
        <f t="shared" si="10"/>
        <v>0</v>
      </c>
      <c r="I28" s="74">
        <f t="shared" si="1"/>
        <v>0</v>
      </c>
      <c r="J28" s="54"/>
      <c r="K28" s="158" t="str">
        <f t="shared" si="12"/>
        <v xml:space="preserve"> </v>
      </c>
      <c r="L28" s="159" t="str">
        <f t="shared" si="13"/>
        <v xml:space="preserve"> </v>
      </c>
      <c r="M28" s="159" t="str">
        <f t="shared" si="14"/>
        <v xml:space="preserve"> </v>
      </c>
      <c r="N28" s="54"/>
      <c r="O28" s="3" t="str">
        <f t="shared" si="2"/>
        <v xml:space="preserve"> </v>
      </c>
      <c r="P28" s="38" t="str">
        <f>IF(M28=" "," ",SUMPRODUCT((K28='Calculator Data Summary'!$A$8:$A$19)*('Rev Req''t_yrs 1-3'!M28='Calculator Data Summary'!$G$7:$I$7)*'Calculator Data Summary'!$G$8:$I$19))</f>
        <v xml:space="preserve"> </v>
      </c>
      <c r="Q28" s="9" t="str">
        <f t="shared" si="3"/>
        <v xml:space="preserve"> </v>
      </c>
      <c r="R28" s="74" t="str">
        <f t="shared" si="4"/>
        <v xml:space="preserve"> </v>
      </c>
      <c r="S28" s="74" t="str">
        <f t="shared" si="5"/>
        <v xml:space="preserve"> </v>
      </c>
      <c r="T28" s="38" t="str">
        <f>IF(M28=" "," ",SUMPRODUCT((K28='Calculator Data Summary'!$A$8:$A$19)*('Rev Req''t_yrs 1-3'!M28='Calculator Data Summary'!$O$7:$Q$7)*'Calculator Data Summary'!$O$8:$Q$19))</f>
        <v xml:space="preserve"> </v>
      </c>
      <c r="U28" s="9" t="str">
        <f t="shared" si="6"/>
        <v xml:space="preserve"> </v>
      </c>
      <c r="V28" s="74" t="str">
        <f t="shared" si="7"/>
        <v xml:space="preserve"> </v>
      </c>
      <c r="W28" s="74" t="str">
        <f t="shared" si="8"/>
        <v xml:space="preserve"> </v>
      </c>
    </row>
    <row r="29" spans="1:23" x14ac:dyDescent="0.55000000000000004">
      <c r="A29" s="48"/>
      <c r="B29" s="48"/>
      <c r="C29" s="48"/>
      <c r="D29" s="54"/>
      <c r="E29" s="52"/>
      <c r="F29" s="50">
        <f t="shared" si="0"/>
        <v>0</v>
      </c>
      <c r="G29" s="42" t="str">
        <f t="shared" si="9"/>
        <v xml:space="preserve"> </v>
      </c>
      <c r="H29" s="155">
        <f t="shared" si="10"/>
        <v>0</v>
      </c>
      <c r="I29" s="74">
        <f t="shared" si="1"/>
        <v>0</v>
      </c>
      <c r="J29" s="54"/>
      <c r="K29" s="158" t="str">
        <f t="shared" si="12"/>
        <v xml:space="preserve"> </v>
      </c>
      <c r="L29" s="159" t="str">
        <f t="shared" si="13"/>
        <v xml:space="preserve"> </v>
      </c>
      <c r="M29" s="159" t="str">
        <f t="shared" si="14"/>
        <v xml:space="preserve"> </v>
      </c>
      <c r="N29" s="54"/>
      <c r="O29" s="3" t="str">
        <f t="shared" si="2"/>
        <v xml:space="preserve"> </v>
      </c>
      <c r="P29" s="38" t="str">
        <f>IF(M29=" "," ",SUMPRODUCT((K29='Calculator Data Summary'!$A$8:$A$19)*('Rev Req''t_yrs 1-3'!M29='Calculator Data Summary'!$G$7:$I$7)*'Calculator Data Summary'!$G$8:$I$19))</f>
        <v xml:space="preserve"> </v>
      </c>
      <c r="Q29" s="9" t="str">
        <f t="shared" si="3"/>
        <v xml:space="preserve"> </v>
      </c>
      <c r="R29" s="74" t="str">
        <f t="shared" si="4"/>
        <v xml:space="preserve"> </v>
      </c>
      <c r="S29" s="74" t="str">
        <f t="shared" si="5"/>
        <v xml:space="preserve"> </v>
      </c>
      <c r="T29" s="38" t="str">
        <f>IF(M29=" "," ",SUMPRODUCT((K29='Calculator Data Summary'!$A$8:$A$19)*('Rev Req''t_yrs 1-3'!M29='Calculator Data Summary'!$O$7:$Q$7)*'Calculator Data Summary'!$O$8:$Q$19))</f>
        <v xml:space="preserve"> </v>
      </c>
      <c r="U29" s="9" t="str">
        <f t="shared" si="6"/>
        <v xml:space="preserve"> </v>
      </c>
      <c r="V29" s="74" t="str">
        <f t="shared" si="7"/>
        <v xml:space="preserve"> </v>
      </c>
      <c r="W29" s="74" t="str">
        <f t="shared" si="8"/>
        <v xml:space="preserve"> </v>
      </c>
    </row>
    <row r="30" spans="1:23" x14ac:dyDescent="0.55000000000000004">
      <c r="A30" s="48"/>
      <c r="B30" s="48"/>
      <c r="C30" s="48"/>
      <c r="D30" s="54"/>
      <c r="E30" s="52"/>
      <c r="F30" s="50">
        <f t="shared" si="0"/>
        <v>0</v>
      </c>
      <c r="G30" s="42" t="str">
        <f t="shared" si="9"/>
        <v xml:space="preserve"> </v>
      </c>
      <c r="H30" s="155">
        <f t="shared" si="10"/>
        <v>0</v>
      </c>
      <c r="I30" s="74">
        <f t="shared" si="1"/>
        <v>0</v>
      </c>
      <c r="J30" s="54"/>
      <c r="K30" s="158" t="str">
        <f t="shared" si="12"/>
        <v xml:space="preserve"> </v>
      </c>
      <c r="L30" s="159" t="str">
        <f t="shared" si="13"/>
        <v xml:space="preserve"> </v>
      </c>
      <c r="M30" s="159" t="str">
        <f t="shared" si="14"/>
        <v xml:space="preserve"> </v>
      </c>
      <c r="N30" s="54"/>
      <c r="O30" s="3" t="str">
        <f t="shared" si="2"/>
        <v xml:space="preserve"> </v>
      </c>
      <c r="P30" s="38" t="str">
        <f>IF(M30=" "," ",SUMPRODUCT((K30='Calculator Data Summary'!$A$8:$A$19)*('Rev Req''t_yrs 1-3'!M30='Calculator Data Summary'!$G$7:$I$7)*'Calculator Data Summary'!$G$8:$I$19))</f>
        <v xml:space="preserve"> </v>
      </c>
      <c r="Q30" s="9" t="str">
        <f t="shared" si="3"/>
        <v xml:space="preserve"> </v>
      </c>
      <c r="R30" s="74" t="str">
        <f t="shared" si="4"/>
        <v xml:space="preserve"> </v>
      </c>
      <c r="S30" s="74" t="str">
        <f t="shared" si="5"/>
        <v xml:space="preserve"> </v>
      </c>
      <c r="T30" s="38" t="str">
        <f>IF(M30=" "," ",SUMPRODUCT((K30='Calculator Data Summary'!$A$8:$A$19)*('Rev Req''t_yrs 1-3'!M30='Calculator Data Summary'!$O$7:$Q$7)*'Calculator Data Summary'!$O$8:$Q$19))</f>
        <v xml:space="preserve"> </v>
      </c>
      <c r="U30" s="9" t="str">
        <f t="shared" si="6"/>
        <v xml:space="preserve"> </v>
      </c>
      <c r="V30" s="74" t="str">
        <f t="shared" si="7"/>
        <v xml:space="preserve"> </v>
      </c>
      <c r="W30" s="74" t="str">
        <f t="shared" si="8"/>
        <v xml:space="preserve"> </v>
      </c>
    </row>
    <row r="31" spans="1:23" x14ac:dyDescent="0.55000000000000004">
      <c r="A31" s="48"/>
      <c r="B31" s="48"/>
      <c r="C31" s="48"/>
      <c r="D31" s="54"/>
      <c r="E31" s="52"/>
      <c r="F31" s="50">
        <f t="shared" si="0"/>
        <v>0</v>
      </c>
      <c r="G31" s="42" t="str">
        <f t="shared" si="9"/>
        <v xml:space="preserve"> </v>
      </c>
      <c r="H31" s="155">
        <f t="shared" si="10"/>
        <v>0</v>
      </c>
      <c r="I31" s="74">
        <f t="shared" si="1"/>
        <v>0</v>
      </c>
      <c r="J31" s="54"/>
      <c r="K31" s="158" t="str">
        <f t="shared" si="12"/>
        <v xml:space="preserve"> </v>
      </c>
      <c r="L31" s="159" t="str">
        <f t="shared" si="13"/>
        <v xml:space="preserve"> </v>
      </c>
      <c r="M31" s="159" t="str">
        <f t="shared" si="14"/>
        <v xml:space="preserve"> </v>
      </c>
      <c r="N31" s="54"/>
      <c r="O31" s="3" t="str">
        <f t="shared" si="2"/>
        <v xml:space="preserve"> </v>
      </c>
      <c r="P31" s="38" t="str">
        <f>IF(M31=" "," ",SUMPRODUCT((K31='Calculator Data Summary'!$A$8:$A$19)*('Rev Req''t_yrs 1-3'!M31='Calculator Data Summary'!$G$7:$I$7)*'Calculator Data Summary'!$G$8:$I$19))</f>
        <v xml:space="preserve"> </v>
      </c>
      <c r="Q31" s="9" t="str">
        <f t="shared" si="3"/>
        <v xml:space="preserve"> </v>
      </c>
      <c r="R31" s="74" t="str">
        <f t="shared" si="4"/>
        <v xml:space="preserve"> </v>
      </c>
      <c r="S31" s="74" t="str">
        <f t="shared" si="5"/>
        <v xml:space="preserve"> </v>
      </c>
      <c r="T31" s="38" t="str">
        <f>IF(M31=" "," ",SUMPRODUCT((K31='Calculator Data Summary'!$A$8:$A$19)*('Rev Req''t_yrs 1-3'!M31='Calculator Data Summary'!$O$7:$Q$7)*'Calculator Data Summary'!$O$8:$Q$19))</f>
        <v xml:space="preserve"> </v>
      </c>
      <c r="U31" s="9" t="str">
        <f t="shared" si="6"/>
        <v xml:space="preserve"> </v>
      </c>
      <c r="V31" s="74" t="str">
        <f t="shared" si="7"/>
        <v xml:space="preserve"> </v>
      </c>
      <c r="W31" s="74" t="str">
        <f t="shared" si="8"/>
        <v xml:space="preserve"> </v>
      </c>
    </row>
    <row r="32" spans="1:23" x14ac:dyDescent="0.55000000000000004">
      <c r="A32" s="48"/>
      <c r="B32" s="48"/>
      <c r="C32" s="48"/>
      <c r="D32" s="54"/>
      <c r="E32" s="52"/>
      <c r="F32" s="50">
        <f t="shared" si="0"/>
        <v>0</v>
      </c>
      <c r="G32" s="42" t="str">
        <f t="shared" si="9"/>
        <v xml:space="preserve"> </v>
      </c>
      <c r="H32" s="155">
        <f t="shared" si="10"/>
        <v>0</v>
      </c>
      <c r="I32" s="74">
        <f t="shared" si="1"/>
        <v>0</v>
      </c>
      <c r="J32" s="54"/>
      <c r="K32" s="158" t="str">
        <f t="shared" si="12"/>
        <v xml:space="preserve"> </v>
      </c>
      <c r="L32" s="159" t="str">
        <f t="shared" si="13"/>
        <v xml:space="preserve"> </v>
      </c>
      <c r="M32" s="159" t="str">
        <f t="shared" si="14"/>
        <v xml:space="preserve"> </v>
      </c>
      <c r="N32" s="54"/>
      <c r="O32" s="3" t="str">
        <f t="shared" si="2"/>
        <v xml:space="preserve"> </v>
      </c>
      <c r="P32" s="38" t="str">
        <f>IF(M32=" "," ",SUMPRODUCT((K32='Calculator Data Summary'!$A$8:$A$19)*('Rev Req''t_yrs 1-3'!M32='Calculator Data Summary'!$G$7:$I$7)*'Calculator Data Summary'!$G$8:$I$19))</f>
        <v xml:space="preserve"> </v>
      </c>
      <c r="Q32" s="9" t="str">
        <f t="shared" si="3"/>
        <v xml:space="preserve"> </v>
      </c>
      <c r="R32" s="74" t="str">
        <f t="shared" si="4"/>
        <v xml:space="preserve"> </v>
      </c>
      <c r="S32" s="74" t="str">
        <f t="shared" si="5"/>
        <v xml:space="preserve"> </v>
      </c>
      <c r="T32" s="38" t="str">
        <f>IF(M32=" "," ",SUMPRODUCT((K32='Calculator Data Summary'!$A$8:$A$19)*('Rev Req''t_yrs 1-3'!M32='Calculator Data Summary'!$O$7:$Q$7)*'Calculator Data Summary'!$O$8:$Q$19))</f>
        <v xml:space="preserve"> </v>
      </c>
      <c r="U32" s="9" t="str">
        <f t="shared" si="6"/>
        <v xml:space="preserve"> </v>
      </c>
      <c r="V32" s="74" t="str">
        <f t="shared" si="7"/>
        <v xml:space="preserve"> </v>
      </c>
      <c r="W32" s="74" t="str">
        <f t="shared" si="8"/>
        <v xml:space="preserve"> </v>
      </c>
    </row>
    <row r="33" spans="1:23" x14ac:dyDescent="0.55000000000000004">
      <c r="A33" s="48"/>
      <c r="B33" s="48"/>
      <c r="C33" s="48"/>
      <c r="D33" s="54"/>
      <c r="E33" s="52"/>
      <c r="F33" s="50">
        <f t="shared" si="0"/>
        <v>0</v>
      </c>
      <c r="G33" s="42" t="str">
        <f t="shared" si="9"/>
        <v xml:space="preserve"> </v>
      </c>
      <c r="H33" s="155">
        <f t="shared" si="10"/>
        <v>0</v>
      </c>
      <c r="I33" s="74">
        <f t="shared" si="1"/>
        <v>0</v>
      </c>
      <c r="J33" s="54"/>
      <c r="K33" s="158" t="str">
        <f t="shared" si="12"/>
        <v xml:space="preserve"> </v>
      </c>
      <c r="L33" s="159" t="str">
        <f t="shared" si="13"/>
        <v xml:space="preserve"> </v>
      </c>
      <c r="M33" s="159" t="str">
        <f t="shared" si="14"/>
        <v xml:space="preserve"> </v>
      </c>
      <c r="N33" s="54"/>
      <c r="O33" s="3" t="str">
        <f t="shared" si="2"/>
        <v xml:space="preserve"> </v>
      </c>
      <c r="P33" s="38" t="str">
        <f>IF(M33=" "," ",SUMPRODUCT((K33='Calculator Data Summary'!$A$8:$A$19)*('Rev Req''t_yrs 1-3'!M33='Calculator Data Summary'!$G$7:$I$7)*'Calculator Data Summary'!$G$8:$I$19))</f>
        <v xml:space="preserve"> </v>
      </c>
      <c r="Q33" s="9" t="str">
        <f t="shared" si="3"/>
        <v xml:space="preserve"> </v>
      </c>
      <c r="R33" s="74" t="str">
        <f t="shared" si="4"/>
        <v xml:space="preserve"> </v>
      </c>
      <c r="S33" s="74" t="str">
        <f t="shared" si="5"/>
        <v xml:space="preserve"> </v>
      </c>
      <c r="T33" s="38" t="str">
        <f>IF(M33=" "," ",SUMPRODUCT((K33='Calculator Data Summary'!$A$8:$A$19)*('Rev Req''t_yrs 1-3'!M33='Calculator Data Summary'!$O$7:$Q$7)*'Calculator Data Summary'!$O$8:$Q$19))</f>
        <v xml:space="preserve"> </v>
      </c>
      <c r="U33" s="9" t="str">
        <f t="shared" si="6"/>
        <v xml:space="preserve"> </v>
      </c>
      <c r="V33" s="74" t="str">
        <f t="shared" si="7"/>
        <v xml:space="preserve"> </v>
      </c>
      <c r="W33" s="74" t="str">
        <f t="shared" si="8"/>
        <v xml:space="preserve"> </v>
      </c>
    </row>
    <row r="34" spans="1:23" x14ac:dyDescent="0.55000000000000004">
      <c r="A34" s="48"/>
      <c r="B34" s="48"/>
      <c r="C34" s="48"/>
      <c r="D34" s="54"/>
      <c r="E34" s="52"/>
      <c r="F34" s="50">
        <f t="shared" si="0"/>
        <v>0</v>
      </c>
      <c r="G34" s="42" t="str">
        <f t="shared" si="9"/>
        <v xml:space="preserve"> </v>
      </c>
      <c r="H34" s="155">
        <f t="shared" si="10"/>
        <v>0</v>
      </c>
      <c r="I34" s="74">
        <f t="shared" si="1"/>
        <v>0</v>
      </c>
      <c r="J34" s="54"/>
      <c r="K34" s="158" t="str">
        <f t="shared" si="12"/>
        <v xml:space="preserve"> </v>
      </c>
      <c r="L34" s="159" t="str">
        <f t="shared" si="13"/>
        <v xml:space="preserve"> </v>
      </c>
      <c r="M34" s="159" t="str">
        <f t="shared" si="14"/>
        <v xml:space="preserve"> </v>
      </c>
      <c r="N34" s="54"/>
      <c r="O34" s="3" t="str">
        <f t="shared" si="2"/>
        <v xml:space="preserve"> </v>
      </c>
      <c r="P34" s="38" t="str">
        <f>IF(M34=" "," ",SUMPRODUCT((K34='Calculator Data Summary'!$A$8:$A$19)*('Rev Req''t_yrs 1-3'!M34='Calculator Data Summary'!$G$7:$I$7)*'Calculator Data Summary'!$G$8:$I$19))</f>
        <v xml:space="preserve"> </v>
      </c>
      <c r="Q34" s="9" t="str">
        <f t="shared" si="3"/>
        <v xml:space="preserve"> </v>
      </c>
      <c r="R34" s="74" t="str">
        <f t="shared" si="4"/>
        <v xml:space="preserve"> </v>
      </c>
      <c r="S34" s="74" t="str">
        <f t="shared" si="5"/>
        <v xml:space="preserve"> </v>
      </c>
      <c r="T34" s="38" t="str">
        <f>IF(M34=" "," ",SUMPRODUCT((K34='Calculator Data Summary'!$A$8:$A$19)*('Rev Req''t_yrs 1-3'!M34='Calculator Data Summary'!$O$7:$Q$7)*'Calculator Data Summary'!$O$8:$Q$19))</f>
        <v xml:space="preserve"> </v>
      </c>
      <c r="U34" s="9" t="str">
        <f t="shared" si="6"/>
        <v xml:space="preserve"> </v>
      </c>
      <c r="V34" s="74" t="str">
        <f t="shared" si="7"/>
        <v xml:space="preserve"> </v>
      </c>
      <c r="W34" s="74" t="str">
        <f t="shared" si="8"/>
        <v xml:space="preserve"> </v>
      </c>
    </row>
    <row r="35" spans="1:23" x14ac:dyDescent="0.55000000000000004">
      <c r="A35" s="48"/>
      <c r="B35" s="48"/>
      <c r="C35" s="48"/>
      <c r="D35" s="54"/>
      <c r="E35" s="52"/>
      <c r="F35" s="50">
        <f t="shared" si="0"/>
        <v>0</v>
      </c>
      <c r="G35" s="42" t="str">
        <f t="shared" si="9"/>
        <v xml:space="preserve"> </v>
      </c>
      <c r="H35" s="155">
        <f t="shared" si="10"/>
        <v>0</v>
      </c>
      <c r="I35" s="74">
        <f t="shared" si="1"/>
        <v>0</v>
      </c>
      <c r="J35" s="54"/>
      <c r="K35" s="158" t="str">
        <f t="shared" si="12"/>
        <v xml:space="preserve"> </v>
      </c>
      <c r="L35" s="159" t="str">
        <f t="shared" si="13"/>
        <v xml:space="preserve"> </v>
      </c>
      <c r="M35" s="159" t="str">
        <f t="shared" si="14"/>
        <v xml:space="preserve"> </v>
      </c>
      <c r="N35" s="54"/>
      <c r="O35" s="3" t="str">
        <f t="shared" si="2"/>
        <v xml:space="preserve"> </v>
      </c>
      <c r="P35" s="38" t="str">
        <f>IF(M35=" "," ",SUMPRODUCT((K35='Calculator Data Summary'!$A$8:$A$19)*('Rev Req''t_yrs 1-3'!M35='Calculator Data Summary'!$G$7:$I$7)*'Calculator Data Summary'!$G$8:$I$19))</f>
        <v xml:space="preserve"> </v>
      </c>
      <c r="Q35" s="9" t="str">
        <f t="shared" si="3"/>
        <v xml:space="preserve"> </v>
      </c>
      <c r="R35" s="74" t="str">
        <f t="shared" si="4"/>
        <v xml:space="preserve"> </v>
      </c>
      <c r="S35" s="74" t="str">
        <f t="shared" si="5"/>
        <v xml:space="preserve"> </v>
      </c>
      <c r="T35" s="38" t="str">
        <f>IF(M35=" "," ",SUMPRODUCT((K35='Calculator Data Summary'!$A$8:$A$19)*('Rev Req''t_yrs 1-3'!M35='Calculator Data Summary'!$O$7:$Q$7)*'Calculator Data Summary'!$O$8:$Q$19))</f>
        <v xml:space="preserve"> </v>
      </c>
      <c r="U35" s="9" t="str">
        <f t="shared" si="6"/>
        <v xml:space="preserve"> </v>
      </c>
      <c r="V35" s="74" t="str">
        <f t="shared" si="7"/>
        <v xml:space="preserve"> </v>
      </c>
      <c r="W35" s="74" t="str">
        <f t="shared" si="8"/>
        <v xml:space="preserve"> </v>
      </c>
    </row>
    <row r="36" spans="1:23" x14ac:dyDescent="0.55000000000000004">
      <c r="A36" s="48"/>
      <c r="B36" s="48"/>
      <c r="C36" s="48"/>
      <c r="D36" s="54"/>
      <c r="E36" s="52"/>
      <c r="F36" s="50">
        <f t="shared" si="0"/>
        <v>0</v>
      </c>
      <c r="G36" s="42" t="str">
        <f t="shared" si="9"/>
        <v xml:space="preserve"> </v>
      </c>
      <c r="H36" s="155">
        <f t="shared" si="10"/>
        <v>0</v>
      </c>
      <c r="I36" s="74">
        <f t="shared" si="1"/>
        <v>0</v>
      </c>
      <c r="J36" s="54"/>
      <c r="K36" s="158" t="str">
        <f t="shared" si="12"/>
        <v xml:space="preserve"> </v>
      </c>
      <c r="L36" s="159" t="str">
        <f t="shared" si="13"/>
        <v xml:space="preserve"> </v>
      </c>
      <c r="M36" s="159" t="str">
        <f t="shared" si="14"/>
        <v xml:space="preserve"> </v>
      </c>
      <c r="N36" s="54"/>
      <c r="O36" s="3" t="str">
        <f t="shared" si="2"/>
        <v xml:space="preserve"> </v>
      </c>
      <c r="P36" s="38" t="str">
        <f>IF(M36=" "," ",SUMPRODUCT((K36='Calculator Data Summary'!$A$8:$A$19)*('Rev Req''t_yrs 1-3'!M36='Calculator Data Summary'!$G$7:$I$7)*'Calculator Data Summary'!$G$8:$I$19))</f>
        <v xml:space="preserve"> </v>
      </c>
      <c r="Q36" s="9" t="str">
        <f t="shared" si="3"/>
        <v xml:space="preserve"> </v>
      </c>
      <c r="R36" s="74" t="str">
        <f t="shared" si="4"/>
        <v xml:space="preserve"> </v>
      </c>
      <c r="S36" s="74" t="str">
        <f t="shared" si="5"/>
        <v xml:space="preserve"> </v>
      </c>
      <c r="T36" s="38" t="str">
        <f>IF(M36=" "," ",SUMPRODUCT((K36='Calculator Data Summary'!$A$8:$A$19)*('Rev Req''t_yrs 1-3'!M36='Calculator Data Summary'!$O$7:$Q$7)*'Calculator Data Summary'!$O$8:$Q$19))</f>
        <v xml:space="preserve"> </v>
      </c>
      <c r="U36" s="9" t="str">
        <f t="shared" si="6"/>
        <v xml:space="preserve"> </v>
      </c>
      <c r="V36" s="74" t="str">
        <f t="shared" si="7"/>
        <v xml:space="preserve"> </v>
      </c>
      <c r="W36" s="74" t="str">
        <f t="shared" si="8"/>
        <v xml:space="preserve"> </v>
      </c>
    </row>
    <row r="37" spans="1:23" x14ac:dyDescent="0.55000000000000004">
      <c r="A37" s="48"/>
      <c r="B37" s="48"/>
      <c r="C37" s="48"/>
      <c r="D37" s="54"/>
      <c r="E37" s="52"/>
      <c r="F37" s="50">
        <f t="shared" si="0"/>
        <v>0</v>
      </c>
      <c r="G37" s="42" t="str">
        <f t="shared" si="9"/>
        <v xml:space="preserve"> </v>
      </c>
      <c r="H37" s="155">
        <f t="shared" si="10"/>
        <v>0</v>
      </c>
      <c r="I37" s="74">
        <f t="shared" si="1"/>
        <v>0</v>
      </c>
      <c r="J37" s="54"/>
      <c r="K37" s="158" t="str">
        <f t="shared" si="12"/>
        <v xml:space="preserve"> </v>
      </c>
      <c r="L37" s="159" t="str">
        <f t="shared" si="13"/>
        <v xml:space="preserve"> </v>
      </c>
      <c r="M37" s="159" t="str">
        <f t="shared" si="14"/>
        <v xml:space="preserve"> </v>
      </c>
      <c r="N37" s="54"/>
      <c r="O37" s="3" t="str">
        <f t="shared" si="2"/>
        <v xml:space="preserve"> </v>
      </c>
      <c r="P37" s="38" t="str">
        <f>IF(M37=" "," ",SUMPRODUCT((K37='Calculator Data Summary'!$A$8:$A$19)*('Rev Req''t_yrs 1-3'!M37='Calculator Data Summary'!$G$7:$I$7)*'Calculator Data Summary'!$G$8:$I$19))</f>
        <v xml:space="preserve"> </v>
      </c>
      <c r="Q37" s="9" t="str">
        <f t="shared" si="3"/>
        <v xml:space="preserve"> </v>
      </c>
      <c r="R37" s="74" t="str">
        <f t="shared" si="4"/>
        <v xml:space="preserve"> </v>
      </c>
      <c r="S37" s="74" t="str">
        <f t="shared" si="5"/>
        <v xml:space="preserve"> </v>
      </c>
      <c r="T37" s="38" t="str">
        <f>IF(M37=" "," ",SUMPRODUCT((K37='Calculator Data Summary'!$A$8:$A$19)*('Rev Req''t_yrs 1-3'!M37='Calculator Data Summary'!$O$7:$Q$7)*'Calculator Data Summary'!$O$8:$Q$19))</f>
        <v xml:space="preserve"> </v>
      </c>
      <c r="U37" s="9" t="str">
        <f t="shared" si="6"/>
        <v xml:space="preserve"> </v>
      </c>
      <c r="V37" s="74" t="str">
        <f t="shared" si="7"/>
        <v xml:space="preserve"> </v>
      </c>
      <c r="W37" s="74" t="str">
        <f t="shared" si="8"/>
        <v xml:space="preserve"> </v>
      </c>
    </row>
    <row r="38" spans="1:23" x14ac:dyDescent="0.55000000000000004">
      <c r="A38" s="48"/>
      <c r="B38" s="48"/>
      <c r="C38" s="48"/>
      <c r="D38" s="54"/>
      <c r="E38" s="52"/>
      <c r="F38" s="50">
        <f t="shared" si="0"/>
        <v>0</v>
      </c>
      <c r="G38" s="42" t="str">
        <f t="shared" si="9"/>
        <v xml:space="preserve"> </v>
      </c>
      <c r="H38" s="155">
        <f t="shared" si="10"/>
        <v>0</v>
      </c>
      <c r="I38" s="74">
        <f t="shared" si="1"/>
        <v>0</v>
      </c>
      <c r="J38" s="54"/>
      <c r="K38" s="158" t="str">
        <f t="shared" si="12"/>
        <v xml:space="preserve"> </v>
      </c>
      <c r="L38" s="159" t="str">
        <f t="shared" si="13"/>
        <v xml:space="preserve"> </v>
      </c>
      <c r="M38" s="159" t="str">
        <f t="shared" si="14"/>
        <v xml:space="preserve"> </v>
      </c>
      <c r="N38" s="54"/>
      <c r="O38" s="3" t="str">
        <f t="shared" si="2"/>
        <v xml:space="preserve"> </v>
      </c>
      <c r="P38" s="38" t="str">
        <f>IF(M38=" "," ",SUMPRODUCT((K38='Calculator Data Summary'!$A$8:$A$19)*('Rev Req''t_yrs 1-3'!M38='Calculator Data Summary'!$G$7:$I$7)*'Calculator Data Summary'!$G$8:$I$19))</f>
        <v xml:space="preserve"> </v>
      </c>
      <c r="Q38" s="9" t="str">
        <f t="shared" si="3"/>
        <v xml:space="preserve"> </v>
      </c>
      <c r="R38" s="74" t="str">
        <f t="shared" si="4"/>
        <v xml:space="preserve"> </v>
      </c>
      <c r="S38" s="74" t="str">
        <f t="shared" si="5"/>
        <v xml:space="preserve"> </v>
      </c>
      <c r="T38" s="38" t="str">
        <f>IF(M38=" "," ",SUMPRODUCT((K38='Calculator Data Summary'!$A$8:$A$19)*('Rev Req''t_yrs 1-3'!M38='Calculator Data Summary'!$O$7:$Q$7)*'Calculator Data Summary'!$O$8:$Q$19))</f>
        <v xml:space="preserve"> </v>
      </c>
      <c r="U38" s="9" t="str">
        <f t="shared" si="6"/>
        <v xml:space="preserve"> </v>
      </c>
      <c r="V38" s="74" t="str">
        <f t="shared" si="7"/>
        <v xml:space="preserve"> </v>
      </c>
      <c r="W38" s="74" t="str">
        <f t="shared" si="8"/>
        <v xml:space="preserve"> </v>
      </c>
    </row>
    <row r="39" spans="1:23" x14ac:dyDescent="0.55000000000000004">
      <c r="A39" s="48"/>
      <c r="B39" s="48"/>
      <c r="C39" s="48"/>
      <c r="D39" s="54"/>
      <c r="E39" s="52"/>
      <c r="F39" s="50">
        <f t="shared" si="0"/>
        <v>0</v>
      </c>
      <c r="G39" s="42" t="str">
        <f t="shared" si="9"/>
        <v xml:space="preserve"> </v>
      </c>
      <c r="H39" s="155">
        <f t="shared" si="10"/>
        <v>0</v>
      </c>
      <c r="I39" s="74">
        <f t="shared" si="1"/>
        <v>0</v>
      </c>
      <c r="J39" s="54"/>
      <c r="K39" s="158" t="str">
        <f t="shared" si="12"/>
        <v xml:space="preserve"> </v>
      </c>
      <c r="L39" s="159" t="str">
        <f t="shared" si="13"/>
        <v xml:space="preserve"> </v>
      </c>
      <c r="M39" s="159" t="str">
        <f t="shared" si="14"/>
        <v xml:space="preserve"> </v>
      </c>
      <c r="N39" s="54"/>
      <c r="O39" s="3" t="str">
        <f t="shared" si="2"/>
        <v xml:space="preserve"> </v>
      </c>
      <c r="P39" s="38" t="str">
        <f>IF(M39=" "," ",SUMPRODUCT((K39='Calculator Data Summary'!$A$8:$A$19)*('Rev Req''t_yrs 1-3'!M39='Calculator Data Summary'!$G$7:$I$7)*'Calculator Data Summary'!$G$8:$I$19))</f>
        <v xml:space="preserve"> </v>
      </c>
      <c r="Q39" s="9" t="str">
        <f t="shared" si="3"/>
        <v xml:space="preserve"> </v>
      </c>
      <c r="R39" s="74" t="str">
        <f t="shared" si="4"/>
        <v xml:space="preserve"> </v>
      </c>
      <c r="S39" s="74" t="str">
        <f t="shared" si="5"/>
        <v xml:space="preserve"> </v>
      </c>
      <c r="T39" s="38" t="str">
        <f>IF(M39=" "," ",SUMPRODUCT((K39='Calculator Data Summary'!$A$8:$A$19)*('Rev Req''t_yrs 1-3'!M39='Calculator Data Summary'!$O$7:$Q$7)*'Calculator Data Summary'!$O$8:$Q$19))</f>
        <v xml:space="preserve"> </v>
      </c>
      <c r="U39" s="9" t="str">
        <f t="shared" si="6"/>
        <v xml:space="preserve"> </v>
      </c>
      <c r="V39" s="74" t="str">
        <f t="shared" si="7"/>
        <v xml:space="preserve"> </v>
      </c>
      <c r="W39" s="74" t="str">
        <f t="shared" si="8"/>
        <v xml:space="preserve"> </v>
      </c>
    </row>
    <row r="40" spans="1:23" x14ac:dyDescent="0.55000000000000004">
      <c r="A40" s="48"/>
      <c r="B40" s="48"/>
      <c r="C40" s="48"/>
      <c r="D40" s="54"/>
      <c r="E40" s="52"/>
      <c r="F40" s="50">
        <f t="shared" si="0"/>
        <v>0</v>
      </c>
      <c r="G40" s="42" t="str">
        <f t="shared" si="9"/>
        <v xml:space="preserve"> </v>
      </c>
      <c r="H40" s="155">
        <f t="shared" si="10"/>
        <v>0</v>
      </c>
      <c r="I40" s="74">
        <f t="shared" si="1"/>
        <v>0</v>
      </c>
      <c r="J40" s="54"/>
      <c r="K40" s="158" t="str">
        <f t="shared" si="12"/>
        <v xml:space="preserve"> </v>
      </c>
      <c r="L40" s="159" t="str">
        <f t="shared" si="13"/>
        <v xml:space="preserve"> </v>
      </c>
      <c r="M40" s="159" t="str">
        <f t="shared" si="14"/>
        <v xml:space="preserve"> </v>
      </c>
      <c r="N40" s="54"/>
      <c r="O40" s="3" t="str">
        <f t="shared" si="2"/>
        <v xml:space="preserve"> </v>
      </c>
      <c r="P40" s="38" t="str">
        <f>IF(M40=" "," ",SUMPRODUCT((K40='Calculator Data Summary'!$A$8:$A$19)*('Rev Req''t_yrs 1-3'!M40='Calculator Data Summary'!$G$7:$I$7)*'Calculator Data Summary'!$G$8:$I$19))</f>
        <v xml:space="preserve"> </v>
      </c>
      <c r="Q40" s="9" t="str">
        <f t="shared" si="3"/>
        <v xml:space="preserve"> </v>
      </c>
      <c r="R40" s="74" t="str">
        <f t="shared" si="4"/>
        <v xml:space="preserve"> </v>
      </c>
      <c r="S40" s="74" t="str">
        <f t="shared" si="5"/>
        <v xml:space="preserve"> </v>
      </c>
      <c r="T40" s="38" t="str">
        <f>IF(M40=" "," ",SUMPRODUCT((K40='Calculator Data Summary'!$A$8:$A$19)*('Rev Req''t_yrs 1-3'!M40='Calculator Data Summary'!$O$7:$Q$7)*'Calculator Data Summary'!$O$8:$Q$19))</f>
        <v xml:space="preserve"> </v>
      </c>
      <c r="U40" s="9" t="str">
        <f t="shared" si="6"/>
        <v xml:space="preserve"> </v>
      </c>
      <c r="V40" s="74" t="str">
        <f t="shared" si="7"/>
        <v xml:space="preserve"> </v>
      </c>
      <c r="W40" s="74" t="str">
        <f t="shared" si="8"/>
        <v xml:space="preserve"> </v>
      </c>
    </row>
    <row r="41" spans="1:23" x14ac:dyDescent="0.55000000000000004">
      <c r="A41" s="48"/>
      <c r="B41" s="48"/>
      <c r="C41" s="48"/>
      <c r="D41" s="54"/>
      <c r="E41" s="52"/>
      <c r="F41" s="50">
        <f t="shared" si="0"/>
        <v>0</v>
      </c>
      <c r="G41" s="42" t="str">
        <f t="shared" si="9"/>
        <v xml:space="preserve"> </v>
      </c>
      <c r="H41" s="155">
        <f t="shared" si="10"/>
        <v>0</v>
      </c>
      <c r="I41" s="74">
        <f t="shared" si="1"/>
        <v>0</v>
      </c>
      <c r="J41" s="54"/>
      <c r="K41" s="158" t="str">
        <f t="shared" si="12"/>
        <v xml:space="preserve"> </v>
      </c>
      <c r="L41" s="159" t="str">
        <f t="shared" si="13"/>
        <v xml:space="preserve"> </v>
      </c>
      <c r="M41" s="159" t="str">
        <f t="shared" si="14"/>
        <v xml:space="preserve"> </v>
      </c>
      <c r="N41" s="54"/>
      <c r="O41" s="3" t="str">
        <f t="shared" si="2"/>
        <v xml:space="preserve"> </v>
      </c>
      <c r="P41" s="38" t="str">
        <f>IF(M41=" "," ",SUMPRODUCT((K41='Calculator Data Summary'!$A$8:$A$19)*('Rev Req''t_yrs 1-3'!M41='Calculator Data Summary'!$G$7:$I$7)*'Calculator Data Summary'!$G$8:$I$19))</f>
        <v xml:space="preserve"> </v>
      </c>
      <c r="Q41" s="9" t="str">
        <f t="shared" si="3"/>
        <v xml:space="preserve"> </v>
      </c>
      <c r="R41" s="74" t="str">
        <f t="shared" si="4"/>
        <v xml:space="preserve"> </v>
      </c>
      <c r="S41" s="74" t="str">
        <f t="shared" si="5"/>
        <v xml:space="preserve"> </v>
      </c>
      <c r="T41" s="38" t="str">
        <f>IF(M41=" "," ",SUMPRODUCT((K41='Calculator Data Summary'!$A$8:$A$19)*('Rev Req''t_yrs 1-3'!M41='Calculator Data Summary'!$O$7:$Q$7)*'Calculator Data Summary'!$O$8:$Q$19))</f>
        <v xml:space="preserve"> </v>
      </c>
      <c r="U41" s="9" t="str">
        <f t="shared" si="6"/>
        <v xml:space="preserve"> </v>
      </c>
      <c r="V41" s="74" t="str">
        <f t="shared" si="7"/>
        <v xml:space="preserve"> </v>
      </c>
      <c r="W41" s="74" t="str">
        <f t="shared" si="8"/>
        <v xml:space="preserve"> </v>
      </c>
    </row>
    <row r="42" spans="1:23" x14ac:dyDescent="0.55000000000000004">
      <c r="A42" s="48"/>
      <c r="B42" s="48"/>
      <c r="C42" s="48"/>
      <c r="D42" s="54"/>
      <c r="E42" s="52"/>
      <c r="F42" s="50">
        <f t="shared" si="0"/>
        <v>0</v>
      </c>
      <c r="G42" s="42" t="str">
        <f t="shared" si="9"/>
        <v xml:space="preserve"> </v>
      </c>
      <c r="H42" s="155">
        <f t="shared" si="10"/>
        <v>0</v>
      </c>
      <c r="I42" s="74">
        <f t="shared" si="1"/>
        <v>0</v>
      </c>
      <c r="J42" s="54"/>
      <c r="K42" s="158" t="str">
        <f t="shared" si="12"/>
        <v xml:space="preserve"> </v>
      </c>
      <c r="L42" s="159" t="str">
        <f t="shared" si="13"/>
        <v xml:space="preserve"> </v>
      </c>
      <c r="M42" s="159" t="str">
        <f t="shared" si="14"/>
        <v xml:space="preserve"> </v>
      </c>
      <c r="N42" s="54"/>
      <c r="O42" s="3" t="str">
        <f t="shared" si="2"/>
        <v xml:space="preserve"> </v>
      </c>
      <c r="P42" s="38" t="str">
        <f>IF(M42=" "," ",SUMPRODUCT((K42='Calculator Data Summary'!$A$8:$A$19)*('Rev Req''t_yrs 1-3'!M42='Calculator Data Summary'!$G$7:$I$7)*'Calculator Data Summary'!$G$8:$I$19))</f>
        <v xml:space="preserve"> </v>
      </c>
      <c r="Q42" s="9" t="str">
        <f t="shared" si="3"/>
        <v xml:space="preserve"> </v>
      </c>
      <c r="R42" s="74" t="str">
        <f t="shared" si="4"/>
        <v xml:space="preserve"> </v>
      </c>
      <c r="S42" s="74" t="str">
        <f t="shared" si="5"/>
        <v xml:space="preserve"> </v>
      </c>
      <c r="T42" s="38" t="str">
        <f>IF(M42=" "," ",SUMPRODUCT((K42='Calculator Data Summary'!$A$8:$A$19)*('Rev Req''t_yrs 1-3'!M42='Calculator Data Summary'!$O$7:$Q$7)*'Calculator Data Summary'!$O$8:$Q$19))</f>
        <v xml:space="preserve"> </v>
      </c>
      <c r="U42" s="9" t="str">
        <f t="shared" si="6"/>
        <v xml:space="preserve"> </v>
      </c>
      <c r="V42" s="74" t="str">
        <f t="shared" si="7"/>
        <v xml:space="preserve"> </v>
      </c>
      <c r="W42" s="74" t="str">
        <f t="shared" si="8"/>
        <v xml:space="preserve"> </v>
      </c>
    </row>
    <row r="43" spans="1:23" x14ac:dyDescent="0.55000000000000004">
      <c r="A43" s="48"/>
      <c r="B43" s="48"/>
      <c r="C43" s="48"/>
      <c r="D43" s="54"/>
      <c r="E43" s="52"/>
      <c r="F43" s="50">
        <f t="shared" si="0"/>
        <v>0</v>
      </c>
      <c r="G43" s="42" t="str">
        <f t="shared" si="9"/>
        <v xml:space="preserve"> </v>
      </c>
      <c r="H43" s="155">
        <f t="shared" si="10"/>
        <v>0</v>
      </c>
      <c r="I43" s="74">
        <f t="shared" si="1"/>
        <v>0</v>
      </c>
      <c r="J43" s="54"/>
      <c r="K43" s="158" t="str">
        <f t="shared" si="12"/>
        <v xml:space="preserve"> </v>
      </c>
      <c r="L43" s="159" t="str">
        <f t="shared" si="13"/>
        <v xml:space="preserve"> </v>
      </c>
      <c r="M43" s="159" t="str">
        <f t="shared" si="14"/>
        <v xml:space="preserve"> </v>
      </c>
      <c r="N43" s="54"/>
      <c r="O43" s="3" t="str">
        <f t="shared" si="2"/>
        <v xml:space="preserve"> </v>
      </c>
      <c r="P43" s="38" t="str">
        <f>IF(M43=" "," ",SUMPRODUCT((K43='Calculator Data Summary'!$A$8:$A$19)*('Rev Req''t_yrs 1-3'!M43='Calculator Data Summary'!$G$7:$I$7)*'Calculator Data Summary'!$G$8:$I$19))</f>
        <v xml:space="preserve"> </v>
      </c>
      <c r="Q43" s="9" t="str">
        <f t="shared" si="3"/>
        <v xml:space="preserve"> </v>
      </c>
      <c r="R43" s="74" t="str">
        <f t="shared" si="4"/>
        <v xml:space="preserve"> </v>
      </c>
      <c r="S43" s="74" t="str">
        <f t="shared" si="5"/>
        <v xml:space="preserve"> </v>
      </c>
      <c r="T43" s="38" t="str">
        <f>IF(M43=" "," ",SUMPRODUCT((K43='Calculator Data Summary'!$A$8:$A$19)*('Rev Req''t_yrs 1-3'!M43='Calculator Data Summary'!$O$7:$Q$7)*'Calculator Data Summary'!$O$8:$Q$19))</f>
        <v xml:space="preserve"> </v>
      </c>
      <c r="U43" s="9" t="str">
        <f t="shared" si="6"/>
        <v xml:space="preserve"> </v>
      </c>
      <c r="V43" s="74" t="str">
        <f t="shared" si="7"/>
        <v xml:space="preserve"> </v>
      </c>
      <c r="W43" s="74" t="str">
        <f t="shared" si="8"/>
        <v xml:space="preserve"> </v>
      </c>
    </row>
    <row r="44" spans="1:23" x14ac:dyDescent="0.55000000000000004">
      <c r="A44" s="48"/>
      <c r="B44" s="48"/>
      <c r="C44" s="48"/>
      <c r="D44" s="54"/>
      <c r="E44" s="52"/>
      <c r="F44" s="50">
        <f t="shared" si="0"/>
        <v>0</v>
      </c>
      <c r="G44" s="42" t="str">
        <f t="shared" si="9"/>
        <v xml:space="preserve"> </v>
      </c>
      <c r="H44" s="155">
        <f t="shared" si="10"/>
        <v>0</v>
      </c>
      <c r="I44" s="74">
        <f t="shared" si="1"/>
        <v>0</v>
      </c>
      <c r="J44" s="54"/>
      <c r="K44" s="158" t="str">
        <f t="shared" si="12"/>
        <v xml:space="preserve"> </v>
      </c>
      <c r="L44" s="159" t="str">
        <f t="shared" si="13"/>
        <v xml:space="preserve"> </v>
      </c>
      <c r="M44" s="159" t="str">
        <f t="shared" si="14"/>
        <v xml:space="preserve"> </v>
      </c>
      <c r="N44" s="54"/>
      <c r="O44" s="3" t="str">
        <f t="shared" si="2"/>
        <v xml:space="preserve"> </v>
      </c>
      <c r="P44" s="38" t="str">
        <f>IF(M44=" "," ",SUMPRODUCT((K44='Calculator Data Summary'!$A$8:$A$19)*('Rev Req''t_yrs 1-3'!M44='Calculator Data Summary'!$G$7:$I$7)*'Calculator Data Summary'!$G$8:$I$19))</f>
        <v xml:space="preserve"> </v>
      </c>
      <c r="Q44" s="9" t="str">
        <f t="shared" si="3"/>
        <v xml:space="preserve"> </v>
      </c>
      <c r="R44" s="74" t="str">
        <f t="shared" si="4"/>
        <v xml:space="preserve"> </v>
      </c>
      <c r="S44" s="74" t="str">
        <f t="shared" si="5"/>
        <v xml:space="preserve"> </v>
      </c>
      <c r="T44" s="38" t="str">
        <f>IF(M44=" "," ",SUMPRODUCT((K44='Calculator Data Summary'!$A$8:$A$19)*('Rev Req''t_yrs 1-3'!M44='Calculator Data Summary'!$O$7:$Q$7)*'Calculator Data Summary'!$O$8:$Q$19))</f>
        <v xml:space="preserve"> </v>
      </c>
      <c r="U44" s="9" t="str">
        <f t="shared" si="6"/>
        <v xml:space="preserve"> </v>
      </c>
      <c r="V44" s="74" t="str">
        <f t="shared" si="7"/>
        <v xml:space="preserve"> </v>
      </c>
      <c r="W44" s="74" t="str">
        <f t="shared" si="8"/>
        <v xml:space="preserve"> </v>
      </c>
    </row>
    <row r="45" spans="1:23" x14ac:dyDescent="0.55000000000000004">
      <c r="A45" s="48"/>
      <c r="B45" s="48"/>
      <c r="C45" s="48"/>
      <c r="D45" s="54"/>
      <c r="E45" s="52"/>
      <c r="F45" s="50">
        <f t="shared" si="0"/>
        <v>0</v>
      </c>
      <c r="G45" s="42" t="str">
        <f t="shared" si="9"/>
        <v xml:space="preserve"> </v>
      </c>
      <c r="H45" s="155">
        <f t="shared" si="10"/>
        <v>0</v>
      </c>
      <c r="I45" s="74">
        <f t="shared" si="1"/>
        <v>0</v>
      </c>
      <c r="J45" s="54"/>
      <c r="K45" s="158" t="str">
        <f t="shared" si="12"/>
        <v xml:space="preserve"> </v>
      </c>
      <c r="L45" s="159" t="str">
        <f t="shared" si="13"/>
        <v xml:space="preserve"> </v>
      </c>
      <c r="M45" s="159" t="str">
        <f t="shared" si="14"/>
        <v xml:space="preserve"> </v>
      </c>
      <c r="N45" s="54"/>
      <c r="O45" s="3" t="str">
        <f t="shared" si="2"/>
        <v xml:space="preserve"> </v>
      </c>
      <c r="P45" s="38" t="str">
        <f>IF(M45=" "," ",SUMPRODUCT((K45='Calculator Data Summary'!$A$8:$A$19)*('Rev Req''t_yrs 1-3'!M45='Calculator Data Summary'!$G$7:$I$7)*'Calculator Data Summary'!$G$8:$I$19))</f>
        <v xml:space="preserve"> </v>
      </c>
      <c r="Q45" s="9" t="str">
        <f t="shared" si="3"/>
        <v xml:space="preserve"> </v>
      </c>
      <c r="R45" s="74" t="str">
        <f t="shared" si="4"/>
        <v xml:space="preserve"> </v>
      </c>
      <c r="S45" s="74" t="str">
        <f t="shared" si="5"/>
        <v xml:space="preserve"> </v>
      </c>
      <c r="T45" s="38" t="str">
        <f>IF(M45=" "," ",SUMPRODUCT((K45='Calculator Data Summary'!$A$8:$A$19)*('Rev Req''t_yrs 1-3'!M45='Calculator Data Summary'!$O$7:$Q$7)*'Calculator Data Summary'!$O$8:$Q$19))</f>
        <v xml:space="preserve"> </v>
      </c>
      <c r="U45" s="9" t="str">
        <f t="shared" si="6"/>
        <v xml:space="preserve"> </v>
      </c>
      <c r="V45" s="74" t="str">
        <f t="shared" si="7"/>
        <v xml:space="preserve"> </v>
      </c>
      <c r="W45" s="74" t="str">
        <f t="shared" si="8"/>
        <v xml:space="preserve"> </v>
      </c>
    </row>
    <row r="46" spans="1:23" x14ac:dyDescent="0.55000000000000004">
      <c r="A46" s="48"/>
      <c r="B46" s="48"/>
      <c r="C46" s="48"/>
      <c r="D46" s="54"/>
      <c r="E46" s="52"/>
      <c r="F46" s="50">
        <f t="shared" si="0"/>
        <v>0</v>
      </c>
      <c r="G46" s="42" t="str">
        <f t="shared" si="9"/>
        <v xml:space="preserve"> </v>
      </c>
      <c r="H46" s="155">
        <f t="shared" si="10"/>
        <v>0</v>
      </c>
      <c r="I46" s="74">
        <f t="shared" si="1"/>
        <v>0</v>
      </c>
      <c r="J46" s="54"/>
      <c r="K46" s="158" t="str">
        <f t="shared" si="12"/>
        <v xml:space="preserve"> </v>
      </c>
      <c r="L46" s="159" t="str">
        <f t="shared" si="13"/>
        <v xml:space="preserve"> </v>
      </c>
      <c r="M46" s="159" t="str">
        <f t="shared" si="14"/>
        <v xml:space="preserve"> </v>
      </c>
      <c r="N46" s="54"/>
      <c r="O46" s="3" t="str">
        <f t="shared" si="2"/>
        <v xml:space="preserve"> </v>
      </c>
      <c r="P46" s="38" t="str">
        <f>IF(M46=" "," ",SUMPRODUCT((K46='Calculator Data Summary'!$A$8:$A$19)*('Rev Req''t_yrs 1-3'!M46='Calculator Data Summary'!$G$7:$I$7)*'Calculator Data Summary'!$G$8:$I$19))</f>
        <v xml:space="preserve"> </v>
      </c>
      <c r="Q46" s="9" t="str">
        <f t="shared" si="3"/>
        <v xml:space="preserve"> </v>
      </c>
      <c r="R46" s="74" t="str">
        <f t="shared" si="4"/>
        <v xml:space="preserve"> </v>
      </c>
      <c r="S46" s="74" t="str">
        <f t="shared" si="5"/>
        <v xml:space="preserve"> </v>
      </c>
      <c r="T46" s="38" t="str">
        <f>IF(M46=" "," ",SUMPRODUCT((K46='Calculator Data Summary'!$A$8:$A$19)*('Rev Req''t_yrs 1-3'!M46='Calculator Data Summary'!$O$7:$Q$7)*'Calculator Data Summary'!$O$8:$Q$19))</f>
        <v xml:space="preserve"> </v>
      </c>
      <c r="U46" s="9" t="str">
        <f t="shared" si="6"/>
        <v xml:space="preserve"> </v>
      </c>
      <c r="V46" s="74" t="str">
        <f t="shared" si="7"/>
        <v xml:space="preserve"> </v>
      </c>
      <c r="W46" s="74" t="str">
        <f t="shared" si="8"/>
        <v xml:space="preserve"> </v>
      </c>
    </row>
    <row r="47" spans="1:23" x14ac:dyDescent="0.55000000000000004">
      <c r="A47" s="48"/>
      <c r="B47" s="48"/>
      <c r="C47" s="48"/>
      <c r="D47" s="54"/>
      <c r="E47" s="52"/>
      <c r="F47" s="50">
        <f t="shared" si="0"/>
        <v>0</v>
      </c>
      <c r="G47" s="42" t="str">
        <f t="shared" si="9"/>
        <v xml:space="preserve"> </v>
      </c>
      <c r="H47" s="155">
        <f t="shared" si="10"/>
        <v>0</v>
      </c>
      <c r="I47" s="74">
        <f t="shared" si="1"/>
        <v>0</v>
      </c>
      <c r="J47" s="54"/>
      <c r="K47" s="158" t="str">
        <f t="shared" si="12"/>
        <v xml:space="preserve"> </v>
      </c>
      <c r="L47" s="159" t="str">
        <f t="shared" si="13"/>
        <v xml:space="preserve"> </v>
      </c>
      <c r="M47" s="159" t="str">
        <f t="shared" si="14"/>
        <v xml:space="preserve"> </v>
      </c>
      <c r="N47" s="54"/>
      <c r="O47" s="3" t="str">
        <f t="shared" si="2"/>
        <v xml:space="preserve"> </v>
      </c>
      <c r="P47" s="38" t="str">
        <f>IF(M47=" "," ",SUMPRODUCT((K47='Calculator Data Summary'!$A$8:$A$19)*('Rev Req''t_yrs 1-3'!M47='Calculator Data Summary'!$G$7:$I$7)*'Calculator Data Summary'!$G$8:$I$19))</f>
        <v xml:space="preserve"> </v>
      </c>
      <c r="Q47" s="9" t="str">
        <f t="shared" si="3"/>
        <v xml:space="preserve"> </v>
      </c>
      <c r="R47" s="74" t="str">
        <f t="shared" si="4"/>
        <v xml:space="preserve"> </v>
      </c>
      <c r="S47" s="74" t="str">
        <f t="shared" si="5"/>
        <v xml:space="preserve"> </v>
      </c>
      <c r="T47" s="38" t="str">
        <f>IF(M47=" "," ",SUMPRODUCT((K47='Calculator Data Summary'!$A$8:$A$19)*('Rev Req''t_yrs 1-3'!M47='Calculator Data Summary'!$O$7:$Q$7)*'Calculator Data Summary'!$O$8:$Q$19))</f>
        <v xml:space="preserve"> </v>
      </c>
      <c r="U47" s="9" t="str">
        <f t="shared" si="6"/>
        <v xml:space="preserve"> </v>
      </c>
      <c r="V47" s="74" t="str">
        <f t="shared" si="7"/>
        <v xml:space="preserve"> </v>
      </c>
      <c r="W47" s="74" t="str">
        <f t="shared" si="8"/>
        <v xml:space="preserve"> </v>
      </c>
    </row>
    <row r="48" spans="1:23" x14ac:dyDescent="0.55000000000000004">
      <c r="A48" s="48"/>
      <c r="B48" s="48"/>
      <c r="C48" s="48"/>
      <c r="D48" s="54"/>
      <c r="E48" s="52"/>
      <c r="F48" s="50">
        <f t="shared" si="0"/>
        <v>0</v>
      </c>
      <c r="G48" s="42" t="str">
        <f t="shared" si="9"/>
        <v xml:space="preserve"> </v>
      </c>
      <c r="H48" s="155">
        <f t="shared" si="10"/>
        <v>0</v>
      </c>
      <c r="I48" s="74">
        <f t="shared" si="1"/>
        <v>0</v>
      </c>
      <c r="J48" s="54"/>
      <c r="K48" s="158" t="str">
        <f t="shared" si="12"/>
        <v xml:space="preserve"> </v>
      </c>
      <c r="L48" s="159" t="str">
        <f t="shared" si="13"/>
        <v xml:space="preserve"> </v>
      </c>
      <c r="M48" s="159" t="str">
        <f t="shared" si="14"/>
        <v xml:space="preserve"> </v>
      </c>
      <c r="N48" s="54"/>
      <c r="O48" s="3" t="str">
        <f t="shared" si="2"/>
        <v xml:space="preserve"> </v>
      </c>
      <c r="P48" s="38" t="str">
        <f>IF(M48=" "," ",SUMPRODUCT((K48='Calculator Data Summary'!$A$8:$A$19)*('Rev Req''t_yrs 1-3'!M48='Calculator Data Summary'!$G$7:$I$7)*'Calculator Data Summary'!$G$8:$I$19))</f>
        <v xml:space="preserve"> </v>
      </c>
      <c r="Q48" s="9" t="str">
        <f t="shared" si="3"/>
        <v xml:space="preserve"> </v>
      </c>
      <c r="R48" s="74" t="str">
        <f t="shared" si="4"/>
        <v xml:space="preserve"> </v>
      </c>
      <c r="S48" s="74" t="str">
        <f t="shared" si="5"/>
        <v xml:space="preserve"> </v>
      </c>
      <c r="T48" s="38" t="str">
        <f>IF(M48=" "," ",SUMPRODUCT((K48='Calculator Data Summary'!$A$8:$A$19)*('Rev Req''t_yrs 1-3'!M48='Calculator Data Summary'!$O$7:$Q$7)*'Calculator Data Summary'!$O$8:$Q$19))</f>
        <v xml:space="preserve"> </v>
      </c>
      <c r="U48" s="9" t="str">
        <f t="shared" si="6"/>
        <v xml:space="preserve"> </v>
      </c>
      <c r="V48" s="74" t="str">
        <f t="shared" si="7"/>
        <v xml:space="preserve"> </v>
      </c>
      <c r="W48" s="74" t="str">
        <f t="shared" si="8"/>
        <v xml:space="preserve"> </v>
      </c>
    </row>
    <row r="49" spans="1:23" x14ac:dyDescent="0.55000000000000004">
      <c r="A49" s="48"/>
      <c r="B49" s="48"/>
      <c r="C49" s="48"/>
      <c r="D49" s="54"/>
      <c r="E49" s="52"/>
      <c r="F49" s="50">
        <f t="shared" si="0"/>
        <v>0</v>
      </c>
      <c r="G49" s="42" t="str">
        <f t="shared" si="9"/>
        <v xml:space="preserve"> </v>
      </c>
      <c r="H49" s="155">
        <f t="shared" si="10"/>
        <v>0</v>
      </c>
      <c r="I49" s="74">
        <f t="shared" si="1"/>
        <v>0</v>
      </c>
      <c r="J49" s="54"/>
      <c r="K49" s="158" t="str">
        <f t="shared" si="12"/>
        <v xml:space="preserve"> </v>
      </c>
      <c r="L49" s="159" t="str">
        <f t="shared" si="13"/>
        <v xml:space="preserve"> </v>
      </c>
      <c r="M49" s="159" t="str">
        <f t="shared" si="14"/>
        <v xml:space="preserve"> </v>
      </c>
      <c r="N49" s="54"/>
      <c r="O49" s="3" t="str">
        <f t="shared" si="2"/>
        <v xml:space="preserve"> </v>
      </c>
      <c r="P49" s="38" t="str">
        <f>IF(M49=" "," ",SUMPRODUCT((K49='Calculator Data Summary'!$A$8:$A$19)*('Rev Req''t_yrs 1-3'!M49='Calculator Data Summary'!$G$7:$I$7)*'Calculator Data Summary'!$G$8:$I$19))</f>
        <v xml:space="preserve"> </v>
      </c>
      <c r="Q49" s="9" t="str">
        <f t="shared" si="3"/>
        <v xml:space="preserve"> </v>
      </c>
      <c r="R49" s="74" t="str">
        <f t="shared" si="4"/>
        <v xml:space="preserve"> </v>
      </c>
      <c r="S49" s="74" t="str">
        <f t="shared" si="5"/>
        <v xml:space="preserve"> </v>
      </c>
      <c r="T49" s="38" t="str">
        <f>IF(M49=" "," ",SUMPRODUCT((K49='Calculator Data Summary'!$A$8:$A$19)*('Rev Req''t_yrs 1-3'!M49='Calculator Data Summary'!$O$7:$Q$7)*'Calculator Data Summary'!$O$8:$Q$19))</f>
        <v xml:space="preserve"> </v>
      </c>
      <c r="U49" s="9" t="str">
        <f t="shared" si="6"/>
        <v xml:space="preserve"> </v>
      </c>
      <c r="V49" s="74" t="str">
        <f t="shared" si="7"/>
        <v xml:space="preserve"> </v>
      </c>
      <c r="W49" s="74" t="str">
        <f t="shared" si="8"/>
        <v xml:space="preserve"> </v>
      </c>
    </row>
    <row r="50" spans="1:23" x14ac:dyDescent="0.55000000000000004">
      <c r="A50" s="48"/>
      <c r="B50" s="48"/>
      <c r="C50" s="48"/>
      <c r="D50" s="54"/>
      <c r="E50" s="52"/>
      <c r="F50" s="50">
        <f t="shared" si="0"/>
        <v>0</v>
      </c>
      <c r="G50" s="42" t="str">
        <f t="shared" si="9"/>
        <v xml:space="preserve"> </v>
      </c>
      <c r="H50" s="155">
        <f t="shared" si="10"/>
        <v>0</v>
      </c>
      <c r="I50" s="74">
        <f t="shared" si="1"/>
        <v>0</v>
      </c>
      <c r="J50" s="54"/>
      <c r="K50" s="158" t="str">
        <f t="shared" si="12"/>
        <v xml:space="preserve"> </v>
      </c>
      <c r="L50" s="159" t="str">
        <f t="shared" si="13"/>
        <v xml:space="preserve"> </v>
      </c>
      <c r="M50" s="159" t="str">
        <f t="shared" si="14"/>
        <v xml:space="preserve"> </v>
      </c>
      <c r="N50" s="54"/>
      <c r="O50" s="3" t="str">
        <f t="shared" si="2"/>
        <v xml:space="preserve"> </v>
      </c>
      <c r="P50" s="38" t="str">
        <f>IF(M50=" "," ",SUMPRODUCT((K50='Calculator Data Summary'!$A$8:$A$19)*('Rev Req''t_yrs 1-3'!M50='Calculator Data Summary'!$G$7:$I$7)*'Calculator Data Summary'!$G$8:$I$19))</f>
        <v xml:space="preserve"> </v>
      </c>
      <c r="Q50" s="9" t="str">
        <f t="shared" si="3"/>
        <v xml:space="preserve"> </v>
      </c>
      <c r="R50" s="74" t="str">
        <f t="shared" si="4"/>
        <v xml:space="preserve"> </v>
      </c>
      <c r="S50" s="74" t="str">
        <f t="shared" si="5"/>
        <v xml:space="preserve"> </v>
      </c>
      <c r="T50" s="38" t="str">
        <f>IF(M50=" "," ",SUMPRODUCT((K50='Calculator Data Summary'!$A$8:$A$19)*('Rev Req''t_yrs 1-3'!M50='Calculator Data Summary'!$O$7:$Q$7)*'Calculator Data Summary'!$O$8:$Q$19))</f>
        <v xml:space="preserve"> </v>
      </c>
      <c r="U50" s="9" t="str">
        <f t="shared" si="6"/>
        <v xml:space="preserve"> </v>
      </c>
      <c r="V50" s="74" t="str">
        <f t="shared" si="7"/>
        <v xml:space="preserve"> </v>
      </c>
      <c r="W50" s="74" t="str">
        <f t="shared" si="8"/>
        <v xml:space="preserve"> </v>
      </c>
    </row>
    <row r="51" spans="1:23" x14ac:dyDescent="0.55000000000000004">
      <c r="A51" s="97" t="s">
        <v>104</v>
      </c>
      <c r="B51" s="97" t="s">
        <v>104</v>
      </c>
      <c r="C51" s="97" t="s">
        <v>104</v>
      </c>
      <c r="D51" s="97" t="s">
        <v>104</v>
      </c>
      <c r="E51" s="97" t="s">
        <v>104</v>
      </c>
      <c r="F51" s="97" t="s">
        <v>104</v>
      </c>
      <c r="G51" s="97" t="s">
        <v>104</v>
      </c>
      <c r="H51" s="97" t="s">
        <v>104</v>
      </c>
      <c r="I51" s="97" t="s">
        <v>104</v>
      </c>
      <c r="J51" s="97" t="s">
        <v>104</v>
      </c>
      <c r="K51" s="97" t="s">
        <v>104</v>
      </c>
      <c r="L51" s="97" t="s">
        <v>104</v>
      </c>
      <c r="M51" s="97" t="s">
        <v>104</v>
      </c>
      <c r="N51" s="97" t="s">
        <v>104</v>
      </c>
      <c r="O51" s="97" t="s">
        <v>104</v>
      </c>
      <c r="P51" s="97" t="s">
        <v>104</v>
      </c>
      <c r="Q51" s="97" t="s">
        <v>104</v>
      </c>
      <c r="R51" s="97" t="s">
        <v>104</v>
      </c>
      <c r="S51" s="97"/>
      <c r="T51" s="97" t="s">
        <v>104</v>
      </c>
      <c r="U51" s="97" t="s">
        <v>104</v>
      </c>
      <c r="V51" s="97" t="s">
        <v>104</v>
      </c>
      <c r="W51" s="97" t="s">
        <v>104</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Input!$C$97:$C$102</xm:f>
          </x14:formula1>
          <xm:sqref>A4:A50</xm:sqref>
        </x14:dataValidation>
        <x14:dataValidation type="list" allowBlank="1" showInputMessage="1" showErrorMessage="1">
          <x14:formula1>
            <xm:f>Input!$C$116:$C$118</xm:f>
          </x14:formula1>
          <xm:sqref>D5:D50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39997558519241921"/>
  </sheetPr>
  <dimension ref="A1:AN118"/>
  <sheetViews>
    <sheetView topLeftCell="A43" zoomScaleNormal="100" workbookViewId="0">
      <pane xSplit="1" topLeftCell="B1" activePane="topRight" state="frozen"/>
      <selection activeCell="B3" sqref="B3"/>
      <selection pane="topRight" activeCell="X50" sqref="X50"/>
    </sheetView>
  </sheetViews>
  <sheetFormatPr defaultRowHeight="14.4" x14ac:dyDescent="0.55000000000000004"/>
  <cols>
    <col min="1" max="1" width="36.83984375" bestFit="1" customWidth="1"/>
    <col min="2" max="2" width="19.15625" customWidth="1"/>
    <col min="3" max="3" width="13.83984375" customWidth="1"/>
    <col min="4" max="4" width="12.578125" bestFit="1" customWidth="1"/>
    <col min="5" max="5" width="13.68359375" customWidth="1"/>
    <col min="6" max="6" width="11.578125" bestFit="1" customWidth="1"/>
    <col min="7" max="7" width="12.578125" bestFit="1" customWidth="1"/>
    <col min="8" max="8" width="10.578125" bestFit="1" customWidth="1"/>
    <col min="9" max="9" width="9.15625" bestFit="1" customWidth="1"/>
    <col min="10" max="10" width="11.41796875" bestFit="1" customWidth="1"/>
    <col min="11" max="11" width="14.83984375" bestFit="1" customWidth="1"/>
    <col min="12" max="12" width="19.15625" customWidth="1"/>
    <col min="13" max="13" width="14.15625" bestFit="1" customWidth="1"/>
    <col min="14" max="14" width="13.83984375" bestFit="1" customWidth="1"/>
    <col min="15" max="15" width="11.68359375" bestFit="1" customWidth="1"/>
    <col min="16" max="16" width="12.68359375" bestFit="1" customWidth="1"/>
    <col min="17" max="17" width="10.578125" bestFit="1" customWidth="1"/>
    <col min="18" max="18" width="19.83984375" bestFit="1" customWidth="1"/>
    <col min="19" max="19" width="8.83984375" bestFit="1" customWidth="1"/>
    <col min="20" max="20" width="9.15625" bestFit="1" customWidth="1"/>
    <col min="21" max="21" width="9.26171875" customWidth="1"/>
    <col min="22" max="22" width="11.26171875" bestFit="1" customWidth="1"/>
    <col min="23" max="23" width="14.68359375" bestFit="1" customWidth="1"/>
    <col min="24" max="24" width="12.26171875" bestFit="1" customWidth="1"/>
    <col min="25" max="25" width="14.26171875" bestFit="1" customWidth="1"/>
    <col min="26" max="26" width="14.15625" bestFit="1" customWidth="1"/>
    <col min="27" max="27" width="12.15625" bestFit="1" customWidth="1"/>
    <col min="28" max="28" width="12.83984375" bestFit="1" customWidth="1"/>
    <col min="29" max="29" width="10.83984375" bestFit="1" customWidth="1"/>
    <col min="30" max="33" width="10" bestFit="1" customWidth="1"/>
    <col min="34" max="34" width="11.26171875" bestFit="1" customWidth="1"/>
    <col min="35" max="35" width="14.68359375" bestFit="1" customWidth="1"/>
    <col min="36" max="36" width="12.26171875" bestFit="1" customWidth="1"/>
    <col min="37" max="37" width="14.26171875" bestFit="1" customWidth="1"/>
    <col min="38" max="38" width="14.15625" bestFit="1" customWidth="1"/>
  </cols>
  <sheetData>
    <row r="1" spans="1:39" x14ac:dyDescent="0.55000000000000004">
      <c r="A1" s="1" t="s">
        <v>260</v>
      </c>
      <c r="B1" s="1"/>
    </row>
    <row r="2" spans="1:39" x14ac:dyDescent="0.55000000000000004">
      <c r="A2" s="1" t="s">
        <v>1</v>
      </c>
      <c r="B2" s="1"/>
    </row>
    <row r="3" spans="1:39" x14ac:dyDescent="0.55000000000000004">
      <c r="A3" s="1"/>
      <c r="B3" s="1"/>
    </row>
    <row r="4" spans="1:39" x14ac:dyDescent="0.55000000000000004">
      <c r="A4" t="s">
        <v>138</v>
      </c>
      <c r="B4" s="53">
        <v>44562</v>
      </c>
      <c r="C4" t="s">
        <v>155</v>
      </c>
      <c r="D4" t="s">
        <v>156</v>
      </c>
    </row>
    <row r="5" spans="1:39" x14ac:dyDescent="0.55000000000000004">
      <c r="A5" t="s">
        <v>64</v>
      </c>
      <c r="B5" s="53">
        <v>44197</v>
      </c>
      <c r="C5" s="54">
        <v>11</v>
      </c>
      <c r="D5" s="54">
        <v>11</v>
      </c>
    </row>
    <row r="6" spans="1:39" x14ac:dyDescent="0.55000000000000004">
      <c r="A6" s="6" t="s">
        <v>65</v>
      </c>
      <c r="B6" s="40">
        <f>YEAR(B5)</f>
        <v>2021</v>
      </c>
    </row>
    <row r="7" spans="1:39" ht="28.8" x14ac:dyDescent="0.55000000000000004">
      <c r="A7" s="47" t="s">
        <v>252</v>
      </c>
      <c r="B7" s="178">
        <f>+[4]SJWC!$D$11</f>
        <v>195050</v>
      </c>
    </row>
    <row r="8" spans="1:39" ht="28.8" x14ac:dyDescent="0.55000000000000004">
      <c r="A8" s="47" t="s">
        <v>66</v>
      </c>
      <c r="B8" s="178">
        <f>+[4]SJWC!$D$35</f>
        <v>223247</v>
      </c>
      <c r="AA8" s="37"/>
      <c r="AB8" s="109"/>
    </row>
    <row r="9" spans="1:39" x14ac:dyDescent="0.55000000000000004">
      <c r="A9" s="1" t="s">
        <v>84</v>
      </c>
      <c r="B9" s="56">
        <f>B6+1</f>
        <v>2022</v>
      </c>
      <c r="C9" s="54">
        <f>$C$5</f>
        <v>11</v>
      </c>
      <c r="D9" s="54">
        <f>$D$5</f>
        <v>11</v>
      </c>
      <c r="E9" s="6"/>
      <c r="I9" s="95"/>
    </row>
    <row r="10" spans="1:39" x14ac:dyDescent="0.55000000000000004">
      <c r="A10" s="6"/>
      <c r="B10" s="56">
        <f>B9+1</f>
        <v>2023</v>
      </c>
      <c r="C10" s="54">
        <f t="shared" ref="C10:C11" si="0">$C$5</f>
        <v>11</v>
      </c>
      <c r="D10" s="54">
        <f t="shared" ref="D10:D11" si="1">$D$5</f>
        <v>11</v>
      </c>
      <c r="E10" s="6"/>
    </row>
    <row r="11" spans="1:39" x14ac:dyDescent="0.55000000000000004">
      <c r="A11" s="6"/>
      <c r="B11" s="56">
        <f>B10+1</f>
        <v>2024</v>
      </c>
      <c r="C11" s="54">
        <f t="shared" si="0"/>
        <v>11</v>
      </c>
      <c r="D11" s="54">
        <f t="shared" si="1"/>
        <v>11</v>
      </c>
      <c r="E11" s="6"/>
    </row>
    <row r="13" spans="1:39" s="5" customFormat="1" x14ac:dyDescent="0.55000000000000004">
      <c r="A13" s="8" t="s">
        <v>9</v>
      </c>
      <c r="B13" s="5" t="str">
        <f>CONCATENATE(TEXT(B4,"mmmm")," ",YEAR(B4))</f>
        <v>January 2022</v>
      </c>
      <c r="C13" s="4" t="str">
        <f>CONCATENATE("January"," ",$B$9)</f>
        <v>January 2022</v>
      </c>
      <c r="D13" s="4" t="str">
        <f>CONCATENATE("February"," ",$B$9)</f>
        <v>February 2022</v>
      </c>
      <c r="E13" s="4" t="str">
        <f>CONCATENATE("March"," ",$B$9)</f>
        <v>March 2022</v>
      </c>
      <c r="F13" s="4" t="str">
        <f>CONCATENATE("April"," ",$B$9)</f>
        <v>April 2022</v>
      </c>
      <c r="G13" s="4" t="str">
        <f>CONCATENATE("May"," ",$B$9)</f>
        <v>May 2022</v>
      </c>
      <c r="H13" s="4" t="str">
        <f>CONCATENATE("June"," ",$B$9)</f>
        <v>June 2022</v>
      </c>
      <c r="I13" s="4" t="str">
        <f>CONCATENATE("July"," ",$B$9)</f>
        <v>July 2022</v>
      </c>
      <c r="J13" s="4" t="str">
        <f>CONCATENATE("August"," ",$B$9)</f>
        <v>August 2022</v>
      </c>
      <c r="K13" s="4" t="str">
        <f>CONCATENATE("September"," ",$B$9)</f>
        <v>September 2022</v>
      </c>
      <c r="L13" s="4" t="str">
        <f>CONCATENATE("October"," ",$B$9)</f>
        <v>October 2022</v>
      </c>
      <c r="M13" s="4" t="str">
        <f>CONCATENATE("November"," ",$B$9)</f>
        <v>November 2022</v>
      </c>
      <c r="N13" s="4" t="str">
        <f>CONCATENATE("December"," ",$B$9)</f>
        <v>December 2022</v>
      </c>
      <c r="O13" s="4" t="str">
        <f>CONCATENATE("January"," ",$B$10)</f>
        <v>January 2023</v>
      </c>
      <c r="P13" s="4" t="str">
        <f>CONCATENATE("February"," ",$B$10)</f>
        <v>February 2023</v>
      </c>
      <c r="Q13" s="4" t="str">
        <f>CONCATENATE("March"," ",$B$10)</f>
        <v>March 2023</v>
      </c>
      <c r="R13" s="4" t="str">
        <f>CONCATENATE("April"," ",$B$10)</f>
        <v>April 2023</v>
      </c>
      <c r="S13" s="4" t="str">
        <f>CONCATENATE("May"," ",$B$10)</f>
        <v>May 2023</v>
      </c>
      <c r="T13" s="4" t="str">
        <f>CONCATENATE("June"," ",$B$10)</f>
        <v>June 2023</v>
      </c>
      <c r="U13" s="4" t="str">
        <f>CONCATENATE("July"," ",$B$10)</f>
        <v>July 2023</v>
      </c>
      <c r="V13" s="4" t="str">
        <f>CONCATENATE("August"," ",$B$10)</f>
        <v>August 2023</v>
      </c>
      <c r="W13" s="4" t="str">
        <f>CONCATENATE("September"," ",$B$10)</f>
        <v>September 2023</v>
      </c>
      <c r="X13" s="4" t="str">
        <f>CONCATENATE("October"," ",$B$10)</f>
        <v>October 2023</v>
      </c>
      <c r="Y13" s="4" t="str">
        <f>CONCATENATE("November"," ",$B$10)</f>
        <v>November 2023</v>
      </c>
      <c r="Z13" s="4" t="str">
        <f>CONCATENATE("December"," ",$B$10)</f>
        <v>December 2023</v>
      </c>
      <c r="AA13" s="4" t="str">
        <f>CONCATENATE("January"," ",$B$11)</f>
        <v>January 2024</v>
      </c>
      <c r="AB13" s="4" t="str">
        <f>CONCATENATE("February"," ",$B$11)</f>
        <v>February 2024</v>
      </c>
      <c r="AC13" s="4" t="str">
        <f>CONCATENATE("March"," ",$B$11)</f>
        <v>March 2024</v>
      </c>
      <c r="AD13" s="4" t="str">
        <f>CONCATENATE("April"," ",$B$11)</f>
        <v>April 2024</v>
      </c>
      <c r="AE13" s="4" t="str">
        <f>CONCATENATE("May"," ",$B$11)</f>
        <v>May 2024</v>
      </c>
      <c r="AF13" s="4" t="str">
        <f>CONCATENATE("June"," ",$B$11)</f>
        <v>June 2024</v>
      </c>
      <c r="AG13" s="4" t="str">
        <f>CONCATENATE("July"," ",$B$11)</f>
        <v>July 2024</v>
      </c>
      <c r="AH13" s="4" t="str">
        <f>CONCATENATE("August"," ",$B$11)</f>
        <v>August 2024</v>
      </c>
      <c r="AI13" s="4" t="str">
        <f>CONCATENATE("September"," ",$B$11)</f>
        <v>September 2024</v>
      </c>
      <c r="AJ13" s="4" t="str">
        <f>CONCATENATE("October"," ",$B$11)</f>
        <v>October 2024</v>
      </c>
      <c r="AK13" s="4" t="str">
        <f>CONCATENATE("November"," ",$B$11)</f>
        <v>November 2024</v>
      </c>
      <c r="AL13" s="4" t="str">
        <f>CONCATENATE("December"," ",$B$11)</f>
        <v>December 2024</v>
      </c>
      <c r="AM13" s="37" t="s">
        <v>10</v>
      </c>
    </row>
    <row r="14" spans="1:39" x14ac:dyDescent="0.55000000000000004">
      <c r="A14" s="6" t="s">
        <v>2</v>
      </c>
      <c r="B14" s="76">
        <v>3</v>
      </c>
      <c r="C14" s="76">
        <v>3</v>
      </c>
      <c r="D14" s="3">
        <f>C14</f>
        <v>3</v>
      </c>
      <c r="E14" s="3">
        <f t="shared" ref="E14:N14" si="2">D14</f>
        <v>3</v>
      </c>
      <c r="F14" s="3">
        <f t="shared" si="2"/>
        <v>3</v>
      </c>
      <c r="G14" s="3">
        <f t="shared" si="2"/>
        <v>3</v>
      </c>
      <c r="H14" s="3">
        <f t="shared" si="2"/>
        <v>3</v>
      </c>
      <c r="I14" s="3">
        <f t="shared" si="2"/>
        <v>3</v>
      </c>
      <c r="J14" s="3">
        <f t="shared" si="2"/>
        <v>3</v>
      </c>
      <c r="K14" s="3">
        <f t="shared" si="2"/>
        <v>3</v>
      </c>
      <c r="L14" s="3">
        <f t="shared" si="2"/>
        <v>3</v>
      </c>
      <c r="M14" s="76">
        <v>6</v>
      </c>
      <c r="N14" s="3">
        <f t="shared" si="2"/>
        <v>6</v>
      </c>
      <c r="O14" s="76">
        <v>6</v>
      </c>
      <c r="P14" s="3">
        <f>O14</f>
        <v>6</v>
      </c>
      <c r="Q14" s="3">
        <f t="shared" ref="P14:AL17" si="3">P14</f>
        <v>6</v>
      </c>
      <c r="R14" s="3">
        <f t="shared" si="3"/>
        <v>6</v>
      </c>
      <c r="S14" s="3">
        <f t="shared" si="3"/>
        <v>6</v>
      </c>
      <c r="T14" s="3">
        <f t="shared" si="3"/>
        <v>6</v>
      </c>
      <c r="U14" s="3">
        <f t="shared" si="3"/>
        <v>6</v>
      </c>
      <c r="V14" s="3">
        <f t="shared" si="3"/>
        <v>6</v>
      </c>
      <c r="W14" s="3">
        <f t="shared" si="3"/>
        <v>6</v>
      </c>
      <c r="X14" s="3">
        <f t="shared" si="3"/>
        <v>6</v>
      </c>
      <c r="Y14" s="3">
        <f t="shared" si="3"/>
        <v>6</v>
      </c>
      <c r="Z14" s="3">
        <f t="shared" si="3"/>
        <v>6</v>
      </c>
      <c r="AA14" s="76">
        <v>6</v>
      </c>
      <c r="AB14" s="3">
        <f t="shared" si="3"/>
        <v>6</v>
      </c>
      <c r="AC14" s="3">
        <f t="shared" si="3"/>
        <v>6</v>
      </c>
      <c r="AD14" s="3">
        <f t="shared" si="3"/>
        <v>6</v>
      </c>
      <c r="AE14" s="3">
        <f t="shared" si="3"/>
        <v>6</v>
      </c>
      <c r="AF14" s="3">
        <f t="shared" si="3"/>
        <v>6</v>
      </c>
      <c r="AG14" s="3">
        <f t="shared" si="3"/>
        <v>6</v>
      </c>
      <c r="AH14" s="3">
        <f t="shared" si="3"/>
        <v>6</v>
      </c>
      <c r="AI14" s="3">
        <f t="shared" si="3"/>
        <v>6</v>
      </c>
      <c r="AJ14" s="3">
        <f t="shared" si="3"/>
        <v>6</v>
      </c>
      <c r="AK14" s="3">
        <f t="shared" si="3"/>
        <v>6</v>
      </c>
      <c r="AL14" s="3">
        <f t="shared" si="3"/>
        <v>6</v>
      </c>
      <c r="AM14" s="37" t="s">
        <v>10</v>
      </c>
    </row>
    <row r="15" spans="1:39" x14ac:dyDescent="0.55000000000000004">
      <c r="A15" s="6" t="s">
        <v>3</v>
      </c>
      <c r="B15" s="76">
        <v>15</v>
      </c>
      <c r="C15" s="76">
        <v>15</v>
      </c>
      <c r="D15" s="3">
        <f t="shared" ref="D15:N17" si="4">C15</f>
        <v>15</v>
      </c>
      <c r="E15" s="3">
        <f t="shared" si="4"/>
        <v>15</v>
      </c>
      <c r="F15" s="3">
        <f t="shared" si="4"/>
        <v>15</v>
      </c>
      <c r="G15" s="3">
        <f t="shared" si="4"/>
        <v>15</v>
      </c>
      <c r="H15" s="3">
        <f t="shared" si="4"/>
        <v>15</v>
      </c>
      <c r="I15" s="3">
        <f t="shared" si="4"/>
        <v>15</v>
      </c>
      <c r="J15" s="3">
        <f t="shared" si="4"/>
        <v>15</v>
      </c>
      <c r="K15" s="3">
        <f t="shared" si="4"/>
        <v>15</v>
      </c>
      <c r="L15" s="3">
        <f t="shared" si="4"/>
        <v>15</v>
      </c>
      <c r="M15" s="76">
        <v>6</v>
      </c>
      <c r="N15" s="3">
        <f t="shared" si="4"/>
        <v>6</v>
      </c>
      <c r="O15" s="76">
        <v>6</v>
      </c>
      <c r="P15" s="3">
        <f t="shared" ref="P15:P16" si="5">O15</f>
        <v>6</v>
      </c>
      <c r="Q15" s="3">
        <f t="shared" ref="Q15:AD15" si="6">P15</f>
        <v>6</v>
      </c>
      <c r="R15" s="3">
        <f t="shared" si="6"/>
        <v>6</v>
      </c>
      <c r="S15" s="3">
        <f t="shared" si="6"/>
        <v>6</v>
      </c>
      <c r="T15" s="3">
        <f t="shared" si="6"/>
        <v>6</v>
      </c>
      <c r="U15" s="3">
        <f t="shared" si="6"/>
        <v>6</v>
      </c>
      <c r="V15" s="3">
        <f t="shared" si="6"/>
        <v>6</v>
      </c>
      <c r="W15" s="3">
        <f t="shared" si="6"/>
        <v>6</v>
      </c>
      <c r="X15" s="3">
        <f t="shared" si="6"/>
        <v>6</v>
      </c>
      <c r="Y15" s="3">
        <f t="shared" si="6"/>
        <v>6</v>
      </c>
      <c r="Z15" s="3">
        <f t="shared" si="6"/>
        <v>6</v>
      </c>
      <c r="AA15" s="76">
        <v>6</v>
      </c>
      <c r="AB15" s="3">
        <f t="shared" si="6"/>
        <v>6</v>
      </c>
      <c r="AC15" s="3">
        <f t="shared" si="6"/>
        <v>6</v>
      </c>
      <c r="AD15" s="3">
        <f t="shared" si="6"/>
        <v>6</v>
      </c>
      <c r="AE15" s="3">
        <f t="shared" si="3"/>
        <v>6</v>
      </c>
      <c r="AF15" s="3">
        <f t="shared" si="3"/>
        <v>6</v>
      </c>
      <c r="AG15" s="3">
        <f t="shared" si="3"/>
        <v>6</v>
      </c>
      <c r="AH15" s="3">
        <f t="shared" si="3"/>
        <v>6</v>
      </c>
      <c r="AI15" s="3">
        <f t="shared" si="3"/>
        <v>6</v>
      </c>
      <c r="AJ15" s="3">
        <f t="shared" si="3"/>
        <v>6</v>
      </c>
      <c r="AK15" s="3">
        <f t="shared" si="3"/>
        <v>6</v>
      </c>
      <c r="AL15" s="3">
        <f t="shared" si="3"/>
        <v>6</v>
      </c>
      <c r="AM15" s="37" t="s">
        <v>10</v>
      </c>
    </row>
    <row r="16" spans="1:39" x14ac:dyDescent="0.55000000000000004">
      <c r="A16" s="6" t="s">
        <v>4</v>
      </c>
      <c r="B16" s="76">
        <v>18</v>
      </c>
      <c r="C16" s="76">
        <v>18</v>
      </c>
      <c r="D16" s="3">
        <f t="shared" si="4"/>
        <v>18</v>
      </c>
      <c r="E16" s="3">
        <f t="shared" ref="E16:N17" si="7">D16</f>
        <v>18</v>
      </c>
      <c r="F16" s="3">
        <f t="shared" si="7"/>
        <v>18</v>
      </c>
      <c r="G16" s="3">
        <f t="shared" si="7"/>
        <v>18</v>
      </c>
      <c r="H16" s="3">
        <f t="shared" si="7"/>
        <v>18</v>
      </c>
      <c r="I16" s="3">
        <f t="shared" si="7"/>
        <v>18</v>
      </c>
      <c r="J16" s="3">
        <f t="shared" si="7"/>
        <v>18</v>
      </c>
      <c r="K16" s="3">
        <f t="shared" si="7"/>
        <v>18</v>
      </c>
      <c r="L16" s="3">
        <f t="shared" si="7"/>
        <v>18</v>
      </c>
      <c r="M16" s="76">
        <v>12</v>
      </c>
      <c r="N16" s="3">
        <f t="shared" si="7"/>
        <v>12</v>
      </c>
      <c r="O16" s="76">
        <v>12</v>
      </c>
      <c r="P16" s="3">
        <f t="shared" si="5"/>
        <v>12</v>
      </c>
      <c r="Q16" s="3">
        <f t="shared" si="3"/>
        <v>12</v>
      </c>
      <c r="R16" s="3">
        <f t="shared" si="3"/>
        <v>12</v>
      </c>
      <c r="S16" s="3">
        <f t="shared" si="3"/>
        <v>12</v>
      </c>
      <c r="T16" s="3">
        <f t="shared" si="3"/>
        <v>12</v>
      </c>
      <c r="U16" s="3">
        <f t="shared" si="3"/>
        <v>12</v>
      </c>
      <c r="V16" s="3">
        <f t="shared" si="3"/>
        <v>12</v>
      </c>
      <c r="W16" s="3">
        <f t="shared" si="3"/>
        <v>12</v>
      </c>
      <c r="X16" s="3">
        <f t="shared" si="3"/>
        <v>12</v>
      </c>
      <c r="Y16" s="3">
        <f t="shared" si="3"/>
        <v>12</v>
      </c>
      <c r="Z16" s="3">
        <f t="shared" si="3"/>
        <v>12</v>
      </c>
      <c r="AA16" s="76">
        <v>12</v>
      </c>
      <c r="AB16" s="3">
        <f t="shared" si="3"/>
        <v>12</v>
      </c>
      <c r="AC16" s="3">
        <f t="shared" si="3"/>
        <v>12</v>
      </c>
      <c r="AD16" s="3">
        <f t="shared" si="3"/>
        <v>12</v>
      </c>
      <c r="AE16" s="3">
        <f t="shared" si="3"/>
        <v>12</v>
      </c>
      <c r="AF16" s="3">
        <f t="shared" si="3"/>
        <v>12</v>
      </c>
      <c r="AG16" s="3">
        <f t="shared" si="3"/>
        <v>12</v>
      </c>
      <c r="AH16" s="3">
        <f t="shared" si="3"/>
        <v>12</v>
      </c>
      <c r="AI16" s="3">
        <f t="shared" si="3"/>
        <v>12</v>
      </c>
      <c r="AJ16" s="3">
        <f t="shared" si="3"/>
        <v>12</v>
      </c>
      <c r="AK16" s="3">
        <f t="shared" si="3"/>
        <v>12</v>
      </c>
      <c r="AL16" s="3">
        <f t="shared" si="3"/>
        <v>12</v>
      </c>
      <c r="AM16" s="37" t="s">
        <v>10</v>
      </c>
    </row>
    <row r="17" spans="1:39" x14ac:dyDescent="0.55000000000000004">
      <c r="A17" s="6" t="s">
        <v>31</v>
      </c>
      <c r="B17" s="76">
        <v>0</v>
      </c>
      <c r="C17" s="76">
        <v>0</v>
      </c>
      <c r="D17" s="3">
        <f t="shared" si="4"/>
        <v>0</v>
      </c>
      <c r="E17" s="3">
        <f t="shared" si="7"/>
        <v>0</v>
      </c>
      <c r="F17" s="3">
        <f t="shared" si="7"/>
        <v>0</v>
      </c>
      <c r="G17" s="3">
        <f t="shared" si="7"/>
        <v>0</v>
      </c>
      <c r="H17" s="3">
        <f t="shared" si="7"/>
        <v>0</v>
      </c>
      <c r="I17" s="3">
        <f t="shared" si="7"/>
        <v>0</v>
      </c>
      <c r="J17" s="3">
        <f t="shared" si="7"/>
        <v>0</v>
      </c>
      <c r="K17" s="3">
        <f t="shared" si="7"/>
        <v>0</v>
      </c>
      <c r="L17" s="3">
        <f t="shared" si="7"/>
        <v>0</v>
      </c>
      <c r="M17" s="76">
        <v>0</v>
      </c>
      <c r="N17" s="3">
        <f t="shared" si="7"/>
        <v>0</v>
      </c>
      <c r="O17" s="76">
        <v>0</v>
      </c>
      <c r="P17" s="3">
        <f t="shared" si="3"/>
        <v>0</v>
      </c>
      <c r="Q17" s="3">
        <f t="shared" si="3"/>
        <v>0</v>
      </c>
      <c r="R17" s="3">
        <f t="shared" si="3"/>
        <v>0</v>
      </c>
      <c r="S17" s="3">
        <f t="shared" si="3"/>
        <v>0</v>
      </c>
      <c r="T17" s="3">
        <f t="shared" si="3"/>
        <v>0</v>
      </c>
      <c r="U17" s="3">
        <f t="shared" si="3"/>
        <v>0</v>
      </c>
      <c r="V17" s="3">
        <f t="shared" si="3"/>
        <v>0</v>
      </c>
      <c r="W17" s="3">
        <f t="shared" si="3"/>
        <v>0</v>
      </c>
      <c r="X17" s="3">
        <f t="shared" si="3"/>
        <v>0</v>
      </c>
      <c r="Y17" s="3">
        <f t="shared" si="3"/>
        <v>0</v>
      </c>
      <c r="Z17" s="3">
        <f t="shared" si="3"/>
        <v>0</v>
      </c>
      <c r="AA17" s="76">
        <v>0</v>
      </c>
      <c r="AB17" s="3">
        <f t="shared" si="3"/>
        <v>0</v>
      </c>
      <c r="AC17" s="3">
        <f t="shared" si="3"/>
        <v>0</v>
      </c>
      <c r="AD17" s="3">
        <f t="shared" si="3"/>
        <v>0</v>
      </c>
      <c r="AE17" s="3">
        <f t="shared" si="3"/>
        <v>0</v>
      </c>
      <c r="AF17" s="3">
        <f t="shared" si="3"/>
        <v>0</v>
      </c>
      <c r="AG17" s="3">
        <f t="shared" si="3"/>
        <v>0</v>
      </c>
      <c r="AH17" s="3">
        <f t="shared" si="3"/>
        <v>0</v>
      </c>
      <c r="AI17" s="3">
        <f t="shared" si="3"/>
        <v>0</v>
      </c>
      <c r="AJ17" s="3">
        <f t="shared" si="3"/>
        <v>0</v>
      </c>
      <c r="AK17" s="3">
        <f t="shared" si="3"/>
        <v>0</v>
      </c>
      <c r="AL17" s="3">
        <f t="shared" si="3"/>
        <v>0</v>
      </c>
      <c r="AM17" s="37" t="s">
        <v>10</v>
      </c>
    </row>
    <row r="18" spans="1:39" x14ac:dyDescent="0.55000000000000004">
      <c r="A18" s="6" t="s">
        <v>32</v>
      </c>
      <c r="B18" s="76">
        <v>0</v>
      </c>
      <c r="C18" s="76">
        <v>0</v>
      </c>
      <c r="D18" s="3">
        <f t="shared" ref="D18" si="8">C18</f>
        <v>0</v>
      </c>
      <c r="E18" s="3">
        <f t="shared" ref="E18" si="9">D18</f>
        <v>0</v>
      </c>
      <c r="F18" s="3">
        <f t="shared" ref="F18" si="10">E18</f>
        <v>0</v>
      </c>
      <c r="G18" s="3">
        <f t="shared" ref="G18" si="11">F18</f>
        <v>0</v>
      </c>
      <c r="H18" s="3">
        <f t="shared" ref="H18" si="12">G18</f>
        <v>0</v>
      </c>
      <c r="I18" s="3">
        <f t="shared" ref="I18" si="13">H18</f>
        <v>0</v>
      </c>
      <c r="J18" s="3">
        <f t="shared" ref="J18" si="14">I18</f>
        <v>0</v>
      </c>
      <c r="K18" s="3">
        <f t="shared" ref="K18" si="15">J18</f>
        <v>0</v>
      </c>
      <c r="L18" s="3">
        <f t="shared" ref="L18" si="16">K18</f>
        <v>0</v>
      </c>
      <c r="M18" s="76">
        <v>0</v>
      </c>
      <c r="N18" s="3">
        <f t="shared" ref="N18" si="17">M18</f>
        <v>0</v>
      </c>
      <c r="O18" s="76">
        <v>0</v>
      </c>
      <c r="P18" s="3">
        <f t="shared" ref="P18" si="18">O18</f>
        <v>0</v>
      </c>
      <c r="Q18" s="3">
        <f t="shared" ref="Q18" si="19">P18</f>
        <v>0</v>
      </c>
      <c r="R18" s="3">
        <f t="shared" ref="R18" si="20">Q18</f>
        <v>0</v>
      </c>
      <c r="S18" s="3">
        <f t="shared" ref="S18" si="21">R18</f>
        <v>0</v>
      </c>
      <c r="T18" s="3">
        <f t="shared" ref="T18" si="22">S18</f>
        <v>0</v>
      </c>
      <c r="U18" s="3">
        <f t="shared" ref="U18" si="23">T18</f>
        <v>0</v>
      </c>
      <c r="V18" s="3">
        <f t="shared" ref="V18" si="24">U18</f>
        <v>0</v>
      </c>
      <c r="W18" s="3">
        <f t="shared" ref="W18" si="25">V18</f>
        <v>0</v>
      </c>
      <c r="X18" s="3">
        <f t="shared" ref="X18" si="26">W18</f>
        <v>0</v>
      </c>
      <c r="Y18" s="3">
        <f t="shared" ref="Y18" si="27">X18</f>
        <v>0</v>
      </c>
      <c r="Z18" s="3">
        <f t="shared" ref="Z18" si="28">Y18</f>
        <v>0</v>
      </c>
      <c r="AA18" s="76">
        <v>0</v>
      </c>
      <c r="AB18" s="3">
        <f t="shared" ref="AB18" si="29">AA18</f>
        <v>0</v>
      </c>
      <c r="AC18" s="3">
        <f t="shared" ref="AC18" si="30">AB18</f>
        <v>0</v>
      </c>
      <c r="AD18" s="3">
        <f t="shared" ref="AD18" si="31">AC18</f>
        <v>0</v>
      </c>
      <c r="AE18" s="3">
        <f t="shared" ref="AE18" si="32">AD18</f>
        <v>0</v>
      </c>
      <c r="AF18" s="3">
        <f t="shared" ref="AF18" si="33">AE18</f>
        <v>0</v>
      </c>
      <c r="AG18" s="3">
        <f t="shared" ref="AG18" si="34">AF18</f>
        <v>0</v>
      </c>
      <c r="AH18" s="3">
        <f t="shared" ref="AH18" si="35">AG18</f>
        <v>0</v>
      </c>
      <c r="AI18" s="3">
        <f t="shared" ref="AI18" si="36">AH18</f>
        <v>0</v>
      </c>
      <c r="AJ18" s="3">
        <f t="shared" ref="AJ18" si="37">AI18</f>
        <v>0</v>
      </c>
      <c r="AK18" s="3">
        <f t="shared" ref="AK18" si="38">AJ18</f>
        <v>0</v>
      </c>
      <c r="AL18" s="3">
        <f t="shared" ref="AL18" si="39">AK18</f>
        <v>0</v>
      </c>
      <c r="AM18" s="37" t="s">
        <v>10</v>
      </c>
    </row>
    <row r="19" spans="1:39" x14ac:dyDescent="0.55000000000000004">
      <c r="AM19" s="37" t="s">
        <v>10</v>
      </c>
    </row>
    <row r="20" spans="1:39" s="5" customFormat="1" x14ac:dyDescent="0.55000000000000004">
      <c r="A20" s="8" t="s">
        <v>11</v>
      </c>
      <c r="B20" s="4" t="str">
        <f>+B13</f>
        <v>January 2022</v>
      </c>
      <c r="C20" s="4" t="str">
        <f>+C13</f>
        <v>January 2022</v>
      </c>
      <c r="D20" s="4" t="str">
        <f t="shared" ref="D20:AL20" si="40">+D13</f>
        <v>February 2022</v>
      </c>
      <c r="E20" s="4" t="str">
        <f t="shared" si="40"/>
        <v>March 2022</v>
      </c>
      <c r="F20" s="4" t="str">
        <f t="shared" si="40"/>
        <v>April 2022</v>
      </c>
      <c r="G20" s="4" t="str">
        <f t="shared" si="40"/>
        <v>May 2022</v>
      </c>
      <c r="H20" s="4" t="str">
        <f t="shared" si="40"/>
        <v>June 2022</v>
      </c>
      <c r="I20" s="4" t="str">
        <f t="shared" si="40"/>
        <v>July 2022</v>
      </c>
      <c r="J20" s="4" t="str">
        <f t="shared" si="40"/>
        <v>August 2022</v>
      </c>
      <c r="K20" s="4" t="str">
        <f t="shared" si="40"/>
        <v>September 2022</v>
      </c>
      <c r="L20" s="4" t="str">
        <f t="shared" si="40"/>
        <v>October 2022</v>
      </c>
      <c r="M20" s="4" t="str">
        <f t="shared" si="40"/>
        <v>November 2022</v>
      </c>
      <c r="N20" s="4" t="str">
        <f t="shared" si="40"/>
        <v>December 2022</v>
      </c>
      <c r="O20" s="46" t="str">
        <f t="shared" si="40"/>
        <v>January 2023</v>
      </c>
      <c r="P20" s="4" t="str">
        <f t="shared" si="40"/>
        <v>February 2023</v>
      </c>
      <c r="Q20" s="4" t="str">
        <f t="shared" si="40"/>
        <v>March 2023</v>
      </c>
      <c r="R20" s="4" t="str">
        <f t="shared" si="40"/>
        <v>April 2023</v>
      </c>
      <c r="S20" s="46" t="str">
        <f t="shared" si="40"/>
        <v>May 2023</v>
      </c>
      <c r="T20" s="4" t="str">
        <f t="shared" si="40"/>
        <v>June 2023</v>
      </c>
      <c r="U20" s="46" t="str">
        <f t="shared" si="40"/>
        <v>July 2023</v>
      </c>
      <c r="V20" s="4" t="str">
        <f t="shared" si="40"/>
        <v>August 2023</v>
      </c>
      <c r="W20" s="4" t="str">
        <f t="shared" si="40"/>
        <v>September 2023</v>
      </c>
      <c r="X20" s="4" t="str">
        <f t="shared" si="40"/>
        <v>October 2023</v>
      </c>
      <c r="Y20" s="4" t="str">
        <f t="shared" si="40"/>
        <v>November 2023</v>
      </c>
      <c r="Z20" s="4" t="str">
        <f t="shared" si="40"/>
        <v>December 2023</v>
      </c>
      <c r="AA20" s="4" t="str">
        <f t="shared" si="40"/>
        <v>January 2024</v>
      </c>
      <c r="AB20" s="4" t="str">
        <f t="shared" si="40"/>
        <v>February 2024</v>
      </c>
      <c r="AC20" s="4" t="str">
        <f t="shared" si="40"/>
        <v>March 2024</v>
      </c>
      <c r="AD20" s="4" t="str">
        <f t="shared" si="40"/>
        <v>April 2024</v>
      </c>
      <c r="AE20" s="4" t="str">
        <f t="shared" si="40"/>
        <v>May 2024</v>
      </c>
      <c r="AF20" s="4" t="str">
        <f t="shared" si="40"/>
        <v>June 2024</v>
      </c>
      <c r="AG20" s="4" t="str">
        <f t="shared" si="40"/>
        <v>July 2024</v>
      </c>
      <c r="AH20" s="4" t="str">
        <f t="shared" si="40"/>
        <v>August 2024</v>
      </c>
      <c r="AI20" s="4" t="str">
        <f t="shared" si="40"/>
        <v>September 2024</v>
      </c>
      <c r="AJ20" s="4" t="str">
        <f t="shared" si="40"/>
        <v>October 2024</v>
      </c>
      <c r="AK20" s="4" t="str">
        <f t="shared" si="40"/>
        <v>November 2024</v>
      </c>
      <c r="AL20" s="4" t="str">
        <f t="shared" si="40"/>
        <v>December 2024</v>
      </c>
      <c r="AM20" s="37" t="s">
        <v>10</v>
      </c>
    </row>
    <row r="21" spans="1:39" x14ac:dyDescent="0.55000000000000004">
      <c r="A21" s="6" t="str">
        <f>A14</f>
        <v>Tier 1</v>
      </c>
      <c r="B21" s="77">
        <v>3.7563</v>
      </c>
      <c r="C21" s="77">
        <v>3.7563</v>
      </c>
      <c r="D21" s="10">
        <f t="shared" ref="D21:N21" si="41">C21</f>
        <v>3.7563</v>
      </c>
      <c r="E21" s="10">
        <f t="shared" si="41"/>
        <v>3.7563</v>
      </c>
      <c r="F21" s="10">
        <f t="shared" si="41"/>
        <v>3.7563</v>
      </c>
      <c r="G21" s="10">
        <f t="shared" si="41"/>
        <v>3.7563</v>
      </c>
      <c r="H21" s="10">
        <f t="shared" si="41"/>
        <v>3.7563</v>
      </c>
      <c r="I21" s="77">
        <v>4.2720000000000002</v>
      </c>
      <c r="J21" s="10">
        <f t="shared" si="41"/>
        <v>4.2720000000000002</v>
      </c>
      <c r="K21" s="10">
        <f t="shared" si="41"/>
        <v>4.2720000000000002</v>
      </c>
      <c r="L21" s="10">
        <f t="shared" si="41"/>
        <v>4.2720000000000002</v>
      </c>
      <c r="M21" s="77">
        <v>4.0001999999999995</v>
      </c>
      <c r="N21" s="10">
        <f t="shared" si="41"/>
        <v>4.0001999999999995</v>
      </c>
      <c r="O21" s="77">
        <v>4.1460999999999997</v>
      </c>
      <c r="P21" s="10">
        <f>O21</f>
        <v>4.1460999999999997</v>
      </c>
      <c r="Q21" s="10">
        <f t="shared" ref="Q21:Z22" si="42">P21</f>
        <v>4.1460999999999997</v>
      </c>
      <c r="R21" s="10">
        <f t="shared" si="42"/>
        <v>4.1460999999999997</v>
      </c>
      <c r="S21" s="10">
        <f t="shared" si="42"/>
        <v>4.1460999999999997</v>
      </c>
      <c r="T21" s="10">
        <f t="shared" si="42"/>
        <v>4.1460999999999997</v>
      </c>
      <c r="U21" s="10">
        <f t="shared" si="42"/>
        <v>4.1460999999999997</v>
      </c>
      <c r="V21" s="10">
        <f t="shared" si="42"/>
        <v>4.1460999999999997</v>
      </c>
      <c r="W21" s="10">
        <f t="shared" si="42"/>
        <v>4.1460999999999997</v>
      </c>
      <c r="X21" s="10">
        <f t="shared" si="42"/>
        <v>4.1460999999999997</v>
      </c>
      <c r="Y21" s="10">
        <f t="shared" si="42"/>
        <v>4.1460999999999997</v>
      </c>
      <c r="Z21" s="10">
        <f t="shared" si="42"/>
        <v>4.1460999999999997</v>
      </c>
      <c r="AA21" s="78">
        <f>Z21*(1+16102000/'Rev Req''t_yrs 1-3'!$E$11)</f>
        <v>4.2841030680439296</v>
      </c>
      <c r="AB21" s="10">
        <f t="shared" ref="AB21:AL21" si="43">AA21</f>
        <v>4.2841030680439296</v>
      </c>
      <c r="AC21" s="10">
        <f t="shared" si="43"/>
        <v>4.2841030680439296</v>
      </c>
      <c r="AD21" s="10">
        <f t="shared" si="43"/>
        <v>4.2841030680439296</v>
      </c>
      <c r="AE21" s="10">
        <f t="shared" si="43"/>
        <v>4.2841030680439296</v>
      </c>
      <c r="AF21" s="10">
        <f t="shared" si="43"/>
        <v>4.2841030680439296</v>
      </c>
      <c r="AG21" s="10">
        <f t="shared" si="43"/>
        <v>4.2841030680439296</v>
      </c>
      <c r="AH21" s="10">
        <f t="shared" si="43"/>
        <v>4.2841030680439296</v>
      </c>
      <c r="AI21" s="10">
        <f t="shared" si="43"/>
        <v>4.2841030680439296</v>
      </c>
      <c r="AJ21" s="10">
        <f t="shared" si="43"/>
        <v>4.2841030680439296</v>
      </c>
      <c r="AK21" s="10">
        <f t="shared" si="43"/>
        <v>4.2841030680439296</v>
      </c>
      <c r="AL21" s="10">
        <f t="shared" si="43"/>
        <v>4.2841030680439296</v>
      </c>
      <c r="AM21" s="37" t="s">
        <v>10</v>
      </c>
    </row>
    <row r="22" spans="1:39" x14ac:dyDescent="0.55000000000000004">
      <c r="A22" s="6" t="str">
        <f t="shared" ref="A22:A25" si="44">A15</f>
        <v>Tier 2</v>
      </c>
      <c r="B22" s="77">
        <v>5.4452999999999996</v>
      </c>
      <c r="C22" s="77">
        <v>5.4452999999999996</v>
      </c>
      <c r="D22" s="10">
        <f>C22</f>
        <v>5.4452999999999996</v>
      </c>
      <c r="E22" s="10">
        <f t="shared" ref="E22:N22" si="45">D22</f>
        <v>5.4452999999999996</v>
      </c>
      <c r="F22" s="10">
        <f t="shared" si="45"/>
        <v>5.4452999999999996</v>
      </c>
      <c r="G22" s="10">
        <f t="shared" si="45"/>
        <v>5.4452999999999996</v>
      </c>
      <c r="H22" s="10">
        <f t="shared" si="45"/>
        <v>5.4452999999999996</v>
      </c>
      <c r="I22" s="77">
        <v>5.9619999999999997</v>
      </c>
      <c r="J22" s="10">
        <f t="shared" si="45"/>
        <v>5.9619999999999997</v>
      </c>
      <c r="K22" s="10">
        <f t="shared" si="45"/>
        <v>5.9619999999999997</v>
      </c>
      <c r="L22" s="10">
        <f t="shared" si="45"/>
        <v>5.9619999999999997</v>
      </c>
      <c r="M22" s="77">
        <v>5.7175000000000002</v>
      </c>
      <c r="N22" s="10">
        <f t="shared" si="45"/>
        <v>5.7175000000000002</v>
      </c>
      <c r="O22" s="77">
        <v>5.9352</v>
      </c>
      <c r="P22" s="10">
        <f t="shared" ref="P22:P23" si="46">O22</f>
        <v>5.9352</v>
      </c>
      <c r="Q22" s="10">
        <f t="shared" si="42"/>
        <v>5.9352</v>
      </c>
      <c r="R22" s="10">
        <f t="shared" si="42"/>
        <v>5.9352</v>
      </c>
      <c r="S22" s="10">
        <f t="shared" si="42"/>
        <v>5.9352</v>
      </c>
      <c r="T22" s="10">
        <f t="shared" si="42"/>
        <v>5.9352</v>
      </c>
      <c r="U22" s="10">
        <f t="shared" si="42"/>
        <v>5.9352</v>
      </c>
      <c r="V22" s="10">
        <f t="shared" si="42"/>
        <v>5.9352</v>
      </c>
      <c r="W22" s="10">
        <f t="shared" si="42"/>
        <v>5.9352</v>
      </c>
      <c r="X22" s="10">
        <f t="shared" si="42"/>
        <v>5.9352</v>
      </c>
      <c r="Y22" s="10">
        <f t="shared" si="42"/>
        <v>5.9352</v>
      </c>
      <c r="Z22" s="10">
        <f t="shared" si="42"/>
        <v>5.9352</v>
      </c>
      <c r="AA22" s="78">
        <f>Z22*(1+16102000/'Rev Req''t_yrs 1-3'!$E$11)</f>
        <v>6.1327533174439441</v>
      </c>
      <c r="AB22" s="10">
        <f t="shared" ref="AB22:AL22" si="47">AA22</f>
        <v>6.1327533174439441</v>
      </c>
      <c r="AC22" s="10">
        <f t="shared" si="47"/>
        <v>6.1327533174439441</v>
      </c>
      <c r="AD22" s="10">
        <f t="shared" si="47"/>
        <v>6.1327533174439441</v>
      </c>
      <c r="AE22" s="10">
        <f t="shared" si="47"/>
        <v>6.1327533174439441</v>
      </c>
      <c r="AF22" s="10">
        <f t="shared" si="47"/>
        <v>6.1327533174439441</v>
      </c>
      <c r="AG22" s="10">
        <f t="shared" si="47"/>
        <v>6.1327533174439441</v>
      </c>
      <c r="AH22" s="10">
        <f t="shared" si="47"/>
        <v>6.1327533174439441</v>
      </c>
      <c r="AI22" s="10">
        <f t="shared" si="47"/>
        <v>6.1327533174439441</v>
      </c>
      <c r="AJ22" s="10">
        <f t="shared" si="47"/>
        <v>6.1327533174439441</v>
      </c>
      <c r="AK22" s="10">
        <f t="shared" si="47"/>
        <v>6.1327533174439441</v>
      </c>
      <c r="AL22" s="10">
        <f t="shared" si="47"/>
        <v>6.1327533174439441</v>
      </c>
      <c r="AM22" s="37" t="s">
        <v>10</v>
      </c>
    </row>
    <row r="23" spans="1:39" x14ac:dyDescent="0.55000000000000004">
      <c r="A23" s="6" t="str">
        <f t="shared" si="44"/>
        <v>Tier 3</v>
      </c>
      <c r="B23" s="77">
        <v>7.1337999999999999</v>
      </c>
      <c r="C23" s="77">
        <v>7.1337999999999999</v>
      </c>
      <c r="D23" s="10">
        <f>C23</f>
        <v>7.1337999999999999</v>
      </c>
      <c r="E23" s="10">
        <f t="shared" ref="E23:N24" si="48">D23</f>
        <v>7.1337999999999999</v>
      </c>
      <c r="F23" s="10">
        <f t="shared" si="48"/>
        <v>7.1337999999999999</v>
      </c>
      <c r="G23" s="10">
        <f t="shared" si="48"/>
        <v>7.1337999999999999</v>
      </c>
      <c r="H23" s="10">
        <f t="shared" si="48"/>
        <v>7.1337999999999999</v>
      </c>
      <c r="I23" s="77">
        <v>7.6515000000000004</v>
      </c>
      <c r="J23" s="10">
        <f t="shared" si="48"/>
        <v>7.6515000000000004</v>
      </c>
      <c r="K23" s="10">
        <f t="shared" si="48"/>
        <v>7.6515000000000004</v>
      </c>
      <c r="L23" s="10">
        <f t="shared" si="48"/>
        <v>7.6515000000000004</v>
      </c>
      <c r="M23" s="77">
        <v>8.821299999999999</v>
      </c>
      <c r="N23" s="10">
        <f t="shared" si="48"/>
        <v>8.821299999999999</v>
      </c>
      <c r="O23" s="77">
        <v>9.1687999999999992</v>
      </c>
      <c r="P23" s="10">
        <f t="shared" si="46"/>
        <v>9.1687999999999992</v>
      </c>
      <c r="Q23" s="10">
        <f t="shared" ref="P23:Z24" si="49">P23</f>
        <v>9.1687999999999992</v>
      </c>
      <c r="R23" s="10">
        <f t="shared" si="49"/>
        <v>9.1687999999999992</v>
      </c>
      <c r="S23" s="10">
        <f t="shared" si="49"/>
        <v>9.1687999999999992</v>
      </c>
      <c r="T23" s="10">
        <f t="shared" si="49"/>
        <v>9.1687999999999992</v>
      </c>
      <c r="U23" s="10">
        <f t="shared" si="49"/>
        <v>9.1687999999999992</v>
      </c>
      <c r="V23" s="10">
        <f t="shared" si="49"/>
        <v>9.1687999999999992</v>
      </c>
      <c r="W23" s="10">
        <f t="shared" si="49"/>
        <v>9.1687999999999992</v>
      </c>
      <c r="X23" s="10">
        <f t="shared" si="49"/>
        <v>9.1687999999999992</v>
      </c>
      <c r="Y23" s="10">
        <f t="shared" si="49"/>
        <v>9.1687999999999992</v>
      </c>
      <c r="Z23" s="10">
        <f t="shared" si="49"/>
        <v>9.1687999999999992</v>
      </c>
      <c r="AA23" s="78">
        <f>Z23*(1+16102000/'Rev Req''t_yrs 1-3'!$E$11)</f>
        <v>9.4739837944770233</v>
      </c>
      <c r="AB23" s="10">
        <f t="shared" ref="AB23:AL23" si="50">AA23</f>
        <v>9.4739837944770233</v>
      </c>
      <c r="AC23" s="10">
        <f t="shared" si="50"/>
        <v>9.4739837944770233</v>
      </c>
      <c r="AD23" s="10">
        <f t="shared" si="50"/>
        <v>9.4739837944770233</v>
      </c>
      <c r="AE23" s="10">
        <f t="shared" si="50"/>
        <v>9.4739837944770233</v>
      </c>
      <c r="AF23" s="10">
        <f t="shared" si="50"/>
        <v>9.4739837944770233</v>
      </c>
      <c r="AG23" s="10">
        <f t="shared" si="50"/>
        <v>9.4739837944770233</v>
      </c>
      <c r="AH23" s="10">
        <f t="shared" si="50"/>
        <v>9.4739837944770233</v>
      </c>
      <c r="AI23" s="10">
        <f t="shared" si="50"/>
        <v>9.4739837944770233</v>
      </c>
      <c r="AJ23" s="10">
        <f t="shared" si="50"/>
        <v>9.4739837944770233</v>
      </c>
      <c r="AK23" s="10">
        <f t="shared" si="50"/>
        <v>9.4739837944770233</v>
      </c>
      <c r="AL23" s="10">
        <f t="shared" si="50"/>
        <v>9.4739837944770233</v>
      </c>
      <c r="AM23" s="37" t="s">
        <v>10</v>
      </c>
    </row>
    <row r="24" spans="1:39" x14ac:dyDescent="0.55000000000000004">
      <c r="A24" s="6" t="str">
        <f t="shared" si="44"/>
        <v>Tier 4</v>
      </c>
      <c r="B24" s="77"/>
      <c r="C24" s="77"/>
      <c r="D24" s="10">
        <f>C24</f>
        <v>0</v>
      </c>
      <c r="E24" s="10">
        <f t="shared" si="48"/>
        <v>0</v>
      </c>
      <c r="F24" s="10">
        <f t="shared" si="48"/>
        <v>0</v>
      </c>
      <c r="G24" s="10">
        <f t="shared" si="48"/>
        <v>0</v>
      </c>
      <c r="H24" s="10">
        <f t="shared" si="48"/>
        <v>0</v>
      </c>
      <c r="I24" s="10">
        <f t="shared" si="48"/>
        <v>0</v>
      </c>
      <c r="J24" s="10">
        <f t="shared" si="48"/>
        <v>0</v>
      </c>
      <c r="K24" s="10">
        <f t="shared" si="48"/>
        <v>0</v>
      </c>
      <c r="L24" s="10">
        <f t="shared" si="48"/>
        <v>0</v>
      </c>
      <c r="M24" s="10">
        <f t="shared" si="48"/>
        <v>0</v>
      </c>
      <c r="N24" s="10">
        <f t="shared" si="48"/>
        <v>0</v>
      </c>
      <c r="O24" s="77"/>
      <c r="P24" s="10">
        <f t="shared" si="49"/>
        <v>0</v>
      </c>
      <c r="Q24" s="10">
        <f t="shared" si="49"/>
        <v>0</v>
      </c>
      <c r="R24" s="10">
        <f t="shared" si="49"/>
        <v>0</v>
      </c>
      <c r="S24" s="10">
        <f t="shared" si="49"/>
        <v>0</v>
      </c>
      <c r="T24" s="10">
        <f t="shared" si="49"/>
        <v>0</v>
      </c>
      <c r="U24" s="10">
        <f t="shared" si="49"/>
        <v>0</v>
      </c>
      <c r="V24" s="10">
        <f t="shared" si="49"/>
        <v>0</v>
      </c>
      <c r="W24" s="10">
        <f t="shared" si="49"/>
        <v>0</v>
      </c>
      <c r="X24" s="10">
        <f t="shared" si="49"/>
        <v>0</v>
      </c>
      <c r="Y24" s="10">
        <f t="shared" si="49"/>
        <v>0</v>
      </c>
      <c r="Z24" s="10">
        <f t="shared" si="49"/>
        <v>0</v>
      </c>
      <c r="AA24" s="78"/>
      <c r="AB24" s="10">
        <f t="shared" ref="AB24:AL24" si="51">AA24</f>
        <v>0</v>
      </c>
      <c r="AC24" s="10">
        <f t="shared" si="51"/>
        <v>0</v>
      </c>
      <c r="AD24" s="10">
        <f t="shared" si="51"/>
        <v>0</v>
      </c>
      <c r="AE24" s="10">
        <f t="shared" si="51"/>
        <v>0</v>
      </c>
      <c r="AF24" s="10">
        <f t="shared" si="51"/>
        <v>0</v>
      </c>
      <c r="AG24" s="10">
        <f t="shared" si="51"/>
        <v>0</v>
      </c>
      <c r="AH24" s="10">
        <f t="shared" si="51"/>
        <v>0</v>
      </c>
      <c r="AI24" s="10">
        <f t="shared" si="51"/>
        <v>0</v>
      </c>
      <c r="AJ24" s="10">
        <f t="shared" si="51"/>
        <v>0</v>
      </c>
      <c r="AK24" s="10">
        <f t="shared" si="51"/>
        <v>0</v>
      </c>
      <c r="AL24" s="10">
        <f t="shared" si="51"/>
        <v>0</v>
      </c>
      <c r="AM24" s="37" t="s">
        <v>10</v>
      </c>
    </row>
    <row r="25" spans="1:39" x14ac:dyDescent="0.55000000000000004">
      <c r="A25" s="6" t="str">
        <f t="shared" si="44"/>
        <v>Tier 5</v>
      </c>
      <c r="B25" s="6"/>
      <c r="F25" s="10"/>
      <c r="AB25" s="10"/>
      <c r="AC25" s="10"/>
      <c r="AD25" s="10"/>
      <c r="AE25" s="10"/>
      <c r="AF25" s="10"/>
      <c r="AG25" s="10"/>
      <c r="AH25" s="10"/>
      <c r="AI25" s="10"/>
      <c r="AJ25" s="10"/>
      <c r="AK25" s="10"/>
      <c r="AL25" s="10"/>
      <c r="AM25" s="37" t="s">
        <v>10</v>
      </c>
    </row>
    <row r="26" spans="1:39" x14ac:dyDescent="0.55000000000000004">
      <c r="AM26" s="37" t="s">
        <v>10</v>
      </c>
    </row>
    <row r="27" spans="1:39" s="5" customFormat="1" x14ac:dyDescent="0.55000000000000004">
      <c r="A27" s="8" t="s">
        <v>5</v>
      </c>
      <c r="B27" s="4" t="str">
        <f>B20</f>
        <v>January 2022</v>
      </c>
      <c r="C27" s="4" t="str">
        <f>C20</f>
        <v>January 2022</v>
      </c>
      <c r="D27" s="4" t="str">
        <f t="shared" ref="D27:AL27" si="52">D20</f>
        <v>February 2022</v>
      </c>
      <c r="E27" s="4" t="str">
        <f t="shared" si="52"/>
        <v>March 2022</v>
      </c>
      <c r="F27" s="4" t="str">
        <f t="shared" si="52"/>
        <v>April 2022</v>
      </c>
      <c r="G27" s="4" t="str">
        <f t="shared" si="52"/>
        <v>May 2022</v>
      </c>
      <c r="H27" s="4" t="str">
        <f t="shared" si="52"/>
        <v>June 2022</v>
      </c>
      <c r="I27" s="4" t="str">
        <f t="shared" si="52"/>
        <v>July 2022</v>
      </c>
      <c r="J27" s="4" t="str">
        <f t="shared" si="52"/>
        <v>August 2022</v>
      </c>
      <c r="K27" s="4" t="str">
        <f t="shared" si="52"/>
        <v>September 2022</v>
      </c>
      <c r="L27" s="4" t="str">
        <f t="shared" si="52"/>
        <v>October 2022</v>
      </c>
      <c r="M27" s="4" t="str">
        <f t="shared" si="52"/>
        <v>November 2022</v>
      </c>
      <c r="N27" s="4" t="str">
        <f t="shared" si="52"/>
        <v>December 2022</v>
      </c>
      <c r="O27" s="4" t="str">
        <f t="shared" si="52"/>
        <v>January 2023</v>
      </c>
      <c r="P27" s="4" t="str">
        <f t="shared" si="52"/>
        <v>February 2023</v>
      </c>
      <c r="Q27" s="4" t="str">
        <f t="shared" si="52"/>
        <v>March 2023</v>
      </c>
      <c r="R27" s="4" t="str">
        <f t="shared" si="52"/>
        <v>April 2023</v>
      </c>
      <c r="S27" s="4" t="str">
        <f t="shared" si="52"/>
        <v>May 2023</v>
      </c>
      <c r="T27" s="4" t="str">
        <f t="shared" si="52"/>
        <v>June 2023</v>
      </c>
      <c r="U27" s="4" t="str">
        <f t="shared" si="52"/>
        <v>July 2023</v>
      </c>
      <c r="V27" s="4" t="str">
        <f t="shared" si="52"/>
        <v>August 2023</v>
      </c>
      <c r="W27" s="4" t="str">
        <f t="shared" si="52"/>
        <v>September 2023</v>
      </c>
      <c r="X27" s="4" t="str">
        <f t="shared" si="52"/>
        <v>October 2023</v>
      </c>
      <c r="Y27" s="4" t="str">
        <f t="shared" si="52"/>
        <v>November 2023</v>
      </c>
      <c r="Z27" s="4" t="str">
        <f t="shared" si="52"/>
        <v>December 2023</v>
      </c>
      <c r="AA27" s="4" t="str">
        <f t="shared" si="52"/>
        <v>January 2024</v>
      </c>
      <c r="AB27" s="4" t="str">
        <f t="shared" si="52"/>
        <v>February 2024</v>
      </c>
      <c r="AC27" s="4" t="str">
        <f t="shared" si="52"/>
        <v>March 2024</v>
      </c>
      <c r="AD27" s="4" t="str">
        <f t="shared" si="52"/>
        <v>April 2024</v>
      </c>
      <c r="AE27" s="4" t="str">
        <f t="shared" si="52"/>
        <v>May 2024</v>
      </c>
      <c r="AF27" s="4" t="str">
        <f t="shared" si="52"/>
        <v>June 2024</v>
      </c>
      <c r="AG27" s="4" t="str">
        <f t="shared" si="52"/>
        <v>July 2024</v>
      </c>
      <c r="AH27" s="4" t="str">
        <f t="shared" si="52"/>
        <v>August 2024</v>
      </c>
      <c r="AI27" s="4" t="str">
        <f t="shared" si="52"/>
        <v>September 2024</v>
      </c>
      <c r="AJ27" s="4" t="str">
        <f t="shared" si="52"/>
        <v>October 2024</v>
      </c>
      <c r="AK27" s="4" t="str">
        <f t="shared" si="52"/>
        <v>November 2024</v>
      </c>
      <c r="AL27" s="4" t="str">
        <f t="shared" si="52"/>
        <v>December 2024</v>
      </c>
      <c r="AM27" s="37" t="s">
        <v>10</v>
      </c>
    </row>
    <row r="28" spans="1:39" x14ac:dyDescent="0.55000000000000004">
      <c r="A28" s="2" t="s">
        <v>13</v>
      </c>
      <c r="B28" s="79">
        <v>41.69</v>
      </c>
      <c r="C28" s="79">
        <v>41.69</v>
      </c>
      <c r="D28" s="9">
        <f>+C28</f>
        <v>41.69</v>
      </c>
      <c r="E28" s="9">
        <f t="shared" ref="E28:N28" si="53">+D28</f>
        <v>41.69</v>
      </c>
      <c r="F28" s="9">
        <f t="shared" si="53"/>
        <v>41.69</v>
      </c>
      <c r="G28" s="9">
        <f t="shared" si="53"/>
        <v>41.69</v>
      </c>
      <c r="H28" s="9">
        <f t="shared" si="53"/>
        <v>41.69</v>
      </c>
      <c r="I28" s="79">
        <v>41.71</v>
      </c>
      <c r="J28" s="9">
        <f t="shared" si="53"/>
        <v>41.71</v>
      </c>
      <c r="K28" s="9">
        <f t="shared" si="53"/>
        <v>41.71</v>
      </c>
      <c r="L28" s="9">
        <f t="shared" si="53"/>
        <v>41.71</v>
      </c>
      <c r="M28" s="79">
        <v>50.88</v>
      </c>
      <c r="N28" s="9">
        <f t="shared" si="53"/>
        <v>50.88</v>
      </c>
      <c r="O28" s="77">
        <v>53.02</v>
      </c>
      <c r="P28" s="9">
        <f>O28</f>
        <v>53.02</v>
      </c>
      <c r="Q28" s="9">
        <f t="shared" ref="Q28:Z28" si="54">+P28</f>
        <v>53.02</v>
      </c>
      <c r="R28" s="9">
        <f t="shared" si="54"/>
        <v>53.02</v>
      </c>
      <c r="S28" s="9">
        <f t="shared" si="54"/>
        <v>53.02</v>
      </c>
      <c r="T28" s="9">
        <f t="shared" si="54"/>
        <v>53.02</v>
      </c>
      <c r="U28" s="9">
        <f t="shared" si="54"/>
        <v>53.02</v>
      </c>
      <c r="V28" s="9">
        <f t="shared" si="54"/>
        <v>53.02</v>
      </c>
      <c r="W28" s="9">
        <f t="shared" si="54"/>
        <v>53.02</v>
      </c>
      <c r="X28" s="9">
        <f t="shared" si="54"/>
        <v>53.02</v>
      </c>
      <c r="Y28" s="9">
        <f t="shared" si="54"/>
        <v>53.02</v>
      </c>
      <c r="Z28" s="9">
        <f t="shared" si="54"/>
        <v>53.02</v>
      </c>
      <c r="AA28" s="80">
        <f>Z28*(1+16102000/'Rev Req''t_yrs 1-3'!$E$11)</f>
        <v>54.784772356597571</v>
      </c>
      <c r="AB28" s="9">
        <f>+AA28</f>
        <v>54.784772356597571</v>
      </c>
      <c r="AC28" s="9">
        <f t="shared" ref="AC28:AL28" si="55">+AB28</f>
        <v>54.784772356597571</v>
      </c>
      <c r="AD28" s="9">
        <f t="shared" si="55"/>
        <v>54.784772356597571</v>
      </c>
      <c r="AE28" s="9">
        <f t="shared" si="55"/>
        <v>54.784772356597571</v>
      </c>
      <c r="AF28" s="9">
        <f t="shared" si="55"/>
        <v>54.784772356597571</v>
      </c>
      <c r="AG28" s="9">
        <f t="shared" si="55"/>
        <v>54.784772356597571</v>
      </c>
      <c r="AH28" s="9">
        <f t="shared" si="55"/>
        <v>54.784772356597571</v>
      </c>
      <c r="AI28" s="9">
        <f t="shared" si="55"/>
        <v>54.784772356597571</v>
      </c>
      <c r="AJ28" s="9">
        <f t="shared" si="55"/>
        <v>54.784772356597571</v>
      </c>
      <c r="AK28" s="9">
        <f t="shared" si="55"/>
        <v>54.784772356597571</v>
      </c>
      <c r="AL28" s="9">
        <f t="shared" si="55"/>
        <v>54.784772356597571</v>
      </c>
      <c r="AM28" s="37" t="s">
        <v>10</v>
      </c>
    </row>
    <row r="29" spans="1:39" x14ac:dyDescent="0.55000000000000004">
      <c r="A29" t="s">
        <v>48</v>
      </c>
      <c r="B29" s="79">
        <v>43.8</v>
      </c>
      <c r="C29" s="79">
        <v>43.8</v>
      </c>
      <c r="D29" s="9">
        <f t="shared" ref="D29:N29" si="56">+C29</f>
        <v>43.8</v>
      </c>
      <c r="E29" s="9">
        <f t="shared" si="56"/>
        <v>43.8</v>
      </c>
      <c r="F29" s="9">
        <f t="shared" si="56"/>
        <v>43.8</v>
      </c>
      <c r="G29" s="9">
        <f t="shared" si="56"/>
        <v>43.8</v>
      </c>
      <c r="H29" s="9">
        <f t="shared" si="56"/>
        <v>43.8</v>
      </c>
      <c r="I29" s="79">
        <f>I28+2.11</f>
        <v>43.82</v>
      </c>
      <c r="J29" s="9">
        <f t="shared" si="56"/>
        <v>43.82</v>
      </c>
      <c r="K29" s="9">
        <f t="shared" si="56"/>
        <v>43.82</v>
      </c>
      <c r="L29" s="9">
        <f t="shared" si="56"/>
        <v>43.82</v>
      </c>
      <c r="M29" s="79">
        <v>53.45</v>
      </c>
      <c r="N29" s="9">
        <f t="shared" si="56"/>
        <v>53.45</v>
      </c>
      <c r="O29" s="77">
        <f>M29*(1+12955000/'Rev Req''t_yrs 1-3'!$E$9)</f>
        <v>54.938132147532549</v>
      </c>
      <c r="P29" s="9">
        <f t="shared" ref="P29:P40" si="57">O29</f>
        <v>54.938132147532549</v>
      </c>
      <c r="Q29" s="9">
        <f t="shared" ref="Q29:Z29" si="58">+P29</f>
        <v>54.938132147532549</v>
      </c>
      <c r="R29" s="9">
        <f t="shared" si="58"/>
        <v>54.938132147532549</v>
      </c>
      <c r="S29" s="9">
        <f t="shared" si="58"/>
        <v>54.938132147532549</v>
      </c>
      <c r="T29" s="9">
        <f t="shared" si="58"/>
        <v>54.938132147532549</v>
      </c>
      <c r="U29" s="9">
        <f t="shared" si="58"/>
        <v>54.938132147532549</v>
      </c>
      <c r="V29" s="9">
        <f t="shared" si="58"/>
        <v>54.938132147532549</v>
      </c>
      <c r="W29" s="9">
        <f t="shared" si="58"/>
        <v>54.938132147532549</v>
      </c>
      <c r="X29" s="9">
        <f t="shared" si="58"/>
        <v>54.938132147532549</v>
      </c>
      <c r="Y29" s="9">
        <f t="shared" si="58"/>
        <v>54.938132147532549</v>
      </c>
      <c r="Z29" s="9">
        <f t="shared" si="58"/>
        <v>54.938132147532549</v>
      </c>
      <c r="AA29" s="80">
        <f>Z29*(1+16102000/'Rev Req''t_yrs 1-3'!$E$11)</f>
        <v>56.766749592592333</v>
      </c>
      <c r="AB29" s="9">
        <f t="shared" ref="AB29:AL29" si="59">+AA29</f>
        <v>56.766749592592333</v>
      </c>
      <c r="AC29" s="9">
        <f t="shared" si="59"/>
        <v>56.766749592592333</v>
      </c>
      <c r="AD29" s="9">
        <f t="shared" si="59"/>
        <v>56.766749592592333</v>
      </c>
      <c r="AE29" s="9">
        <f t="shared" si="59"/>
        <v>56.766749592592333</v>
      </c>
      <c r="AF29" s="9">
        <f t="shared" si="59"/>
        <v>56.766749592592333</v>
      </c>
      <c r="AG29" s="9">
        <f t="shared" si="59"/>
        <v>56.766749592592333</v>
      </c>
      <c r="AH29" s="9">
        <f t="shared" si="59"/>
        <v>56.766749592592333</v>
      </c>
      <c r="AI29" s="9">
        <f t="shared" si="59"/>
        <v>56.766749592592333</v>
      </c>
      <c r="AJ29" s="9">
        <f t="shared" si="59"/>
        <v>56.766749592592333</v>
      </c>
      <c r="AK29" s="9">
        <f t="shared" si="59"/>
        <v>56.766749592592333</v>
      </c>
      <c r="AL29" s="9">
        <f t="shared" si="59"/>
        <v>56.766749592592333</v>
      </c>
      <c r="AM29" s="37" t="s">
        <v>10</v>
      </c>
    </row>
    <row r="30" spans="1:39" x14ac:dyDescent="0.55000000000000004">
      <c r="A30" s="2" t="s">
        <v>14</v>
      </c>
      <c r="B30" s="79">
        <v>41.69</v>
      </c>
      <c r="C30" s="79">
        <v>41.69</v>
      </c>
      <c r="D30" s="9">
        <f t="shared" ref="D30:N30" si="60">+C30</f>
        <v>41.69</v>
      </c>
      <c r="E30" s="9">
        <f t="shared" si="60"/>
        <v>41.69</v>
      </c>
      <c r="F30" s="9">
        <f t="shared" si="60"/>
        <v>41.69</v>
      </c>
      <c r="G30" s="9">
        <f t="shared" si="60"/>
        <v>41.69</v>
      </c>
      <c r="H30" s="9">
        <f t="shared" si="60"/>
        <v>41.69</v>
      </c>
      <c r="I30" s="79">
        <v>41.71</v>
      </c>
      <c r="J30" s="9">
        <f t="shared" si="60"/>
        <v>41.71</v>
      </c>
      <c r="K30" s="9">
        <f t="shared" si="60"/>
        <v>41.71</v>
      </c>
      <c r="L30" s="9">
        <f t="shared" si="60"/>
        <v>41.71</v>
      </c>
      <c r="M30" s="79">
        <v>50.88</v>
      </c>
      <c r="N30" s="9">
        <f t="shared" si="60"/>
        <v>50.88</v>
      </c>
      <c r="O30" s="77">
        <v>53.02</v>
      </c>
      <c r="P30" s="9">
        <f t="shared" si="57"/>
        <v>53.02</v>
      </c>
      <c r="Q30" s="9">
        <f t="shared" ref="Q30:Z30" si="61">+P30</f>
        <v>53.02</v>
      </c>
      <c r="R30" s="9">
        <f t="shared" si="61"/>
        <v>53.02</v>
      </c>
      <c r="S30" s="9">
        <f t="shared" si="61"/>
        <v>53.02</v>
      </c>
      <c r="T30" s="9">
        <f t="shared" si="61"/>
        <v>53.02</v>
      </c>
      <c r="U30" s="9">
        <f t="shared" si="61"/>
        <v>53.02</v>
      </c>
      <c r="V30" s="9">
        <f t="shared" si="61"/>
        <v>53.02</v>
      </c>
      <c r="W30" s="9">
        <f t="shared" si="61"/>
        <v>53.02</v>
      </c>
      <c r="X30" s="9">
        <f t="shared" si="61"/>
        <v>53.02</v>
      </c>
      <c r="Y30" s="9">
        <f t="shared" si="61"/>
        <v>53.02</v>
      </c>
      <c r="Z30" s="9">
        <f t="shared" si="61"/>
        <v>53.02</v>
      </c>
      <c r="AA30" s="80">
        <f>Z30*(1+16102000/'Rev Req''t_yrs 1-3'!$E$11)</f>
        <v>54.784772356597571</v>
      </c>
      <c r="AB30" s="9">
        <f t="shared" ref="AB30:AL30" si="62">+AA30</f>
        <v>54.784772356597571</v>
      </c>
      <c r="AC30" s="9">
        <f t="shared" si="62"/>
        <v>54.784772356597571</v>
      </c>
      <c r="AD30" s="9">
        <f t="shared" si="62"/>
        <v>54.784772356597571</v>
      </c>
      <c r="AE30" s="9">
        <f t="shared" si="62"/>
        <v>54.784772356597571</v>
      </c>
      <c r="AF30" s="9">
        <f t="shared" si="62"/>
        <v>54.784772356597571</v>
      </c>
      <c r="AG30" s="9">
        <f t="shared" si="62"/>
        <v>54.784772356597571</v>
      </c>
      <c r="AH30" s="9">
        <f t="shared" si="62"/>
        <v>54.784772356597571</v>
      </c>
      <c r="AI30" s="9">
        <f t="shared" si="62"/>
        <v>54.784772356597571</v>
      </c>
      <c r="AJ30" s="9">
        <f t="shared" si="62"/>
        <v>54.784772356597571</v>
      </c>
      <c r="AK30" s="9">
        <f t="shared" si="62"/>
        <v>54.784772356597571</v>
      </c>
      <c r="AL30" s="9">
        <f t="shared" si="62"/>
        <v>54.784772356597571</v>
      </c>
      <c r="AM30" s="37" t="s">
        <v>10</v>
      </c>
    </row>
    <row r="31" spans="1:39" x14ac:dyDescent="0.55000000000000004">
      <c r="A31" t="s">
        <v>46</v>
      </c>
      <c r="B31" s="79">
        <v>43.8</v>
      </c>
      <c r="C31" s="79">
        <v>43.8</v>
      </c>
      <c r="D31" s="9">
        <f t="shared" ref="D31:N31" si="63">+C31</f>
        <v>43.8</v>
      </c>
      <c r="E31" s="9">
        <f t="shared" si="63"/>
        <v>43.8</v>
      </c>
      <c r="F31" s="9">
        <f t="shared" si="63"/>
        <v>43.8</v>
      </c>
      <c r="G31" s="9">
        <f t="shared" si="63"/>
        <v>43.8</v>
      </c>
      <c r="H31" s="9">
        <f t="shared" si="63"/>
        <v>43.8</v>
      </c>
      <c r="I31" s="79">
        <f>I30+2.11</f>
        <v>43.82</v>
      </c>
      <c r="J31" s="9">
        <f t="shared" si="63"/>
        <v>43.82</v>
      </c>
      <c r="K31" s="9">
        <f t="shared" si="63"/>
        <v>43.82</v>
      </c>
      <c r="L31" s="9">
        <f t="shared" si="63"/>
        <v>43.82</v>
      </c>
      <c r="M31" s="79">
        <v>53.45</v>
      </c>
      <c r="N31" s="9">
        <f t="shared" si="63"/>
        <v>53.45</v>
      </c>
      <c r="O31" s="77">
        <f>M31*(1+12955000/'Rev Req''t_yrs 1-3'!$E$9)</f>
        <v>54.938132147532549</v>
      </c>
      <c r="P31" s="9">
        <f t="shared" si="57"/>
        <v>54.938132147532549</v>
      </c>
      <c r="Q31" s="9">
        <f t="shared" ref="Q31:Z31" si="64">+P31</f>
        <v>54.938132147532549</v>
      </c>
      <c r="R31" s="9">
        <f t="shared" si="64"/>
        <v>54.938132147532549</v>
      </c>
      <c r="S31" s="9">
        <f t="shared" si="64"/>
        <v>54.938132147532549</v>
      </c>
      <c r="T31" s="9">
        <f t="shared" si="64"/>
        <v>54.938132147532549</v>
      </c>
      <c r="U31" s="9">
        <f t="shared" si="64"/>
        <v>54.938132147532549</v>
      </c>
      <c r="V31" s="9">
        <f t="shared" si="64"/>
        <v>54.938132147532549</v>
      </c>
      <c r="W31" s="9">
        <f t="shared" si="64"/>
        <v>54.938132147532549</v>
      </c>
      <c r="X31" s="9">
        <f t="shared" si="64"/>
        <v>54.938132147532549</v>
      </c>
      <c r="Y31" s="9">
        <f t="shared" si="64"/>
        <v>54.938132147532549</v>
      </c>
      <c r="Z31" s="9">
        <f t="shared" si="64"/>
        <v>54.938132147532549</v>
      </c>
      <c r="AA31" s="80">
        <f>Z31*(1+16102000/'Rev Req''t_yrs 1-3'!$E$11)</f>
        <v>56.766749592592333</v>
      </c>
      <c r="AB31" s="9">
        <f t="shared" ref="AB31:AL31" si="65">+AA31</f>
        <v>56.766749592592333</v>
      </c>
      <c r="AC31" s="9">
        <f t="shared" si="65"/>
        <v>56.766749592592333</v>
      </c>
      <c r="AD31" s="9">
        <f t="shared" si="65"/>
        <v>56.766749592592333</v>
      </c>
      <c r="AE31" s="9">
        <f t="shared" si="65"/>
        <v>56.766749592592333</v>
      </c>
      <c r="AF31" s="9">
        <f t="shared" si="65"/>
        <v>56.766749592592333</v>
      </c>
      <c r="AG31" s="9">
        <f t="shared" si="65"/>
        <v>56.766749592592333</v>
      </c>
      <c r="AH31" s="9">
        <f t="shared" si="65"/>
        <v>56.766749592592333</v>
      </c>
      <c r="AI31" s="9">
        <f t="shared" si="65"/>
        <v>56.766749592592333</v>
      </c>
      <c r="AJ31" s="9">
        <f t="shared" si="65"/>
        <v>56.766749592592333</v>
      </c>
      <c r="AK31" s="9">
        <f t="shared" si="65"/>
        <v>56.766749592592333</v>
      </c>
      <c r="AL31" s="9">
        <f t="shared" si="65"/>
        <v>56.766749592592333</v>
      </c>
      <c r="AM31" s="37" t="s">
        <v>10</v>
      </c>
    </row>
    <row r="32" spans="1:39" x14ac:dyDescent="0.55000000000000004">
      <c r="A32" s="2" t="s">
        <v>12</v>
      </c>
      <c r="B32" s="79">
        <v>69.48</v>
      </c>
      <c r="C32" s="79">
        <v>69.48</v>
      </c>
      <c r="D32" s="9">
        <f t="shared" ref="D32:N32" si="66">+C32</f>
        <v>69.48</v>
      </c>
      <c r="E32" s="9">
        <f t="shared" si="66"/>
        <v>69.48</v>
      </c>
      <c r="F32" s="9">
        <f t="shared" si="66"/>
        <v>69.48</v>
      </c>
      <c r="G32" s="9">
        <f t="shared" si="66"/>
        <v>69.48</v>
      </c>
      <c r="H32" s="9">
        <f t="shared" si="66"/>
        <v>69.48</v>
      </c>
      <c r="I32" s="79">
        <v>69.540000000000006</v>
      </c>
      <c r="J32" s="9">
        <f t="shared" si="66"/>
        <v>69.540000000000006</v>
      </c>
      <c r="K32" s="9">
        <f t="shared" si="66"/>
        <v>69.540000000000006</v>
      </c>
      <c r="L32" s="9">
        <f t="shared" si="66"/>
        <v>69.540000000000006</v>
      </c>
      <c r="M32" s="79">
        <v>84.83</v>
      </c>
      <c r="N32" s="9">
        <f t="shared" si="66"/>
        <v>84.83</v>
      </c>
      <c r="O32" s="77">
        <v>88.4</v>
      </c>
      <c r="P32" s="9">
        <f t="shared" si="57"/>
        <v>88.4</v>
      </c>
      <c r="Q32" s="9">
        <f t="shared" ref="Q32:Z32" si="67">+P32</f>
        <v>88.4</v>
      </c>
      <c r="R32" s="9">
        <f t="shared" si="67"/>
        <v>88.4</v>
      </c>
      <c r="S32" s="9">
        <f t="shared" si="67"/>
        <v>88.4</v>
      </c>
      <c r="T32" s="9">
        <f t="shared" si="67"/>
        <v>88.4</v>
      </c>
      <c r="U32" s="9">
        <f t="shared" si="67"/>
        <v>88.4</v>
      </c>
      <c r="V32" s="9">
        <f t="shared" si="67"/>
        <v>88.4</v>
      </c>
      <c r="W32" s="9">
        <f t="shared" si="67"/>
        <v>88.4</v>
      </c>
      <c r="X32" s="9">
        <f t="shared" si="67"/>
        <v>88.4</v>
      </c>
      <c r="Y32" s="9">
        <f t="shared" si="67"/>
        <v>88.4</v>
      </c>
      <c r="Z32" s="9">
        <f t="shared" si="67"/>
        <v>88.4</v>
      </c>
      <c r="AA32" s="80">
        <f>Z32*(1+16102000/'Rev Req''t_yrs 1-3'!$E$11)</f>
        <v>91.342396762037453</v>
      </c>
      <c r="AB32" s="9">
        <f t="shared" ref="AB32:AL32" si="68">+AA32</f>
        <v>91.342396762037453</v>
      </c>
      <c r="AC32" s="9">
        <f t="shared" si="68"/>
        <v>91.342396762037453</v>
      </c>
      <c r="AD32" s="9">
        <f t="shared" si="68"/>
        <v>91.342396762037453</v>
      </c>
      <c r="AE32" s="9">
        <f t="shared" si="68"/>
        <v>91.342396762037453</v>
      </c>
      <c r="AF32" s="9">
        <f t="shared" si="68"/>
        <v>91.342396762037453</v>
      </c>
      <c r="AG32" s="9">
        <f t="shared" si="68"/>
        <v>91.342396762037453</v>
      </c>
      <c r="AH32" s="9">
        <f t="shared" si="68"/>
        <v>91.342396762037453</v>
      </c>
      <c r="AI32" s="9">
        <f t="shared" si="68"/>
        <v>91.342396762037453</v>
      </c>
      <c r="AJ32" s="9">
        <f t="shared" si="68"/>
        <v>91.342396762037453</v>
      </c>
      <c r="AK32" s="9">
        <f t="shared" si="68"/>
        <v>91.342396762037453</v>
      </c>
      <c r="AL32" s="9">
        <f t="shared" si="68"/>
        <v>91.342396762037453</v>
      </c>
      <c r="AM32" s="37" t="s">
        <v>10</v>
      </c>
    </row>
    <row r="33" spans="1:40" x14ac:dyDescent="0.55000000000000004">
      <c r="A33" s="2" t="s">
        <v>15</v>
      </c>
      <c r="B33" s="79">
        <v>138.99</v>
      </c>
      <c r="C33" s="79">
        <v>138.99</v>
      </c>
      <c r="D33" s="9">
        <f t="shared" ref="D33:N33" si="69">+C33</f>
        <v>138.99</v>
      </c>
      <c r="E33" s="9">
        <f t="shared" si="69"/>
        <v>138.99</v>
      </c>
      <c r="F33" s="9">
        <f t="shared" si="69"/>
        <v>138.99</v>
      </c>
      <c r="G33" s="9">
        <f t="shared" si="69"/>
        <v>138.99</v>
      </c>
      <c r="H33" s="9">
        <f t="shared" si="69"/>
        <v>138.99</v>
      </c>
      <c r="I33" s="79">
        <v>139.07</v>
      </c>
      <c r="J33" s="9">
        <f t="shared" si="69"/>
        <v>139.07</v>
      </c>
      <c r="K33" s="9">
        <f t="shared" si="69"/>
        <v>139.07</v>
      </c>
      <c r="L33" s="9">
        <f t="shared" si="69"/>
        <v>139.07</v>
      </c>
      <c r="M33" s="79">
        <v>169.65</v>
      </c>
      <c r="N33" s="9">
        <f t="shared" si="69"/>
        <v>169.65</v>
      </c>
      <c r="O33" s="77">
        <v>176.8</v>
      </c>
      <c r="P33" s="9">
        <f t="shared" si="57"/>
        <v>176.8</v>
      </c>
      <c r="Q33" s="9">
        <f t="shared" ref="Q33:Z33" si="70">+P33</f>
        <v>176.8</v>
      </c>
      <c r="R33" s="9">
        <f t="shared" si="70"/>
        <v>176.8</v>
      </c>
      <c r="S33" s="9">
        <f t="shared" si="70"/>
        <v>176.8</v>
      </c>
      <c r="T33" s="9">
        <f t="shared" si="70"/>
        <v>176.8</v>
      </c>
      <c r="U33" s="9">
        <f t="shared" si="70"/>
        <v>176.8</v>
      </c>
      <c r="V33" s="9">
        <f t="shared" si="70"/>
        <v>176.8</v>
      </c>
      <c r="W33" s="9">
        <f t="shared" si="70"/>
        <v>176.8</v>
      </c>
      <c r="X33" s="9">
        <f t="shared" si="70"/>
        <v>176.8</v>
      </c>
      <c r="Y33" s="9">
        <f t="shared" si="70"/>
        <v>176.8</v>
      </c>
      <c r="Z33" s="9">
        <f t="shared" si="70"/>
        <v>176.8</v>
      </c>
      <c r="AA33" s="80">
        <f>Z33*(1+16102000/'Rev Req''t_yrs 1-3'!$E$11)</f>
        <v>182.68479352407491</v>
      </c>
      <c r="AB33" s="9">
        <f t="shared" ref="AB33:AL33" si="71">+AA33</f>
        <v>182.68479352407491</v>
      </c>
      <c r="AC33" s="9">
        <f t="shared" si="71"/>
        <v>182.68479352407491</v>
      </c>
      <c r="AD33" s="9">
        <f t="shared" si="71"/>
        <v>182.68479352407491</v>
      </c>
      <c r="AE33" s="9">
        <f t="shared" si="71"/>
        <v>182.68479352407491</v>
      </c>
      <c r="AF33" s="9">
        <f t="shared" si="71"/>
        <v>182.68479352407491</v>
      </c>
      <c r="AG33" s="9">
        <f t="shared" si="71"/>
        <v>182.68479352407491</v>
      </c>
      <c r="AH33" s="9">
        <f t="shared" si="71"/>
        <v>182.68479352407491</v>
      </c>
      <c r="AI33" s="9">
        <f t="shared" si="71"/>
        <v>182.68479352407491</v>
      </c>
      <c r="AJ33" s="9">
        <f t="shared" si="71"/>
        <v>182.68479352407491</v>
      </c>
      <c r="AK33" s="9">
        <f t="shared" si="71"/>
        <v>182.68479352407491</v>
      </c>
      <c r="AL33" s="9">
        <f t="shared" si="71"/>
        <v>182.68479352407491</v>
      </c>
      <c r="AM33" s="37" t="s">
        <v>10</v>
      </c>
    </row>
    <row r="34" spans="1:40" x14ac:dyDescent="0.55000000000000004">
      <c r="A34" t="s">
        <v>49</v>
      </c>
      <c r="B34" s="79">
        <v>143.20000000000002</v>
      </c>
      <c r="C34" s="79">
        <v>143.20000000000002</v>
      </c>
      <c r="D34" s="9">
        <f t="shared" ref="D34:N34" si="72">+C34</f>
        <v>143.20000000000002</v>
      </c>
      <c r="E34" s="9">
        <f t="shared" si="72"/>
        <v>143.20000000000002</v>
      </c>
      <c r="F34" s="9">
        <f t="shared" si="72"/>
        <v>143.20000000000002</v>
      </c>
      <c r="G34" s="9">
        <f t="shared" si="72"/>
        <v>143.20000000000002</v>
      </c>
      <c r="H34" s="9">
        <f t="shared" si="72"/>
        <v>143.20000000000002</v>
      </c>
      <c r="I34" s="79">
        <f>I33+4.21</f>
        <v>143.28</v>
      </c>
      <c r="J34" s="9">
        <f t="shared" si="72"/>
        <v>143.28</v>
      </c>
      <c r="K34" s="9">
        <f t="shared" si="72"/>
        <v>143.28</v>
      </c>
      <c r="L34" s="9">
        <f t="shared" si="72"/>
        <v>143.28</v>
      </c>
      <c r="M34" s="79">
        <v>174.79</v>
      </c>
      <c r="N34" s="9">
        <f t="shared" si="72"/>
        <v>174.79</v>
      </c>
      <c r="O34" s="77">
        <f>M34*(1+12955000/'Rev Req''t_yrs 1-3'!$E$9)</f>
        <v>179.65642877581317</v>
      </c>
      <c r="P34" s="9">
        <f t="shared" si="57"/>
        <v>179.65642877581317</v>
      </c>
      <c r="Q34" s="9">
        <f t="shared" ref="Q34:Z34" si="73">+P34</f>
        <v>179.65642877581317</v>
      </c>
      <c r="R34" s="9">
        <f t="shared" si="73"/>
        <v>179.65642877581317</v>
      </c>
      <c r="S34" s="9">
        <f t="shared" si="73"/>
        <v>179.65642877581317</v>
      </c>
      <c r="T34" s="9">
        <f t="shared" si="73"/>
        <v>179.65642877581317</v>
      </c>
      <c r="U34" s="9">
        <f t="shared" si="73"/>
        <v>179.65642877581317</v>
      </c>
      <c r="V34" s="9">
        <f t="shared" si="73"/>
        <v>179.65642877581317</v>
      </c>
      <c r="W34" s="9">
        <f t="shared" si="73"/>
        <v>179.65642877581317</v>
      </c>
      <c r="X34" s="9">
        <f t="shared" si="73"/>
        <v>179.65642877581317</v>
      </c>
      <c r="Y34" s="9">
        <f t="shared" si="73"/>
        <v>179.65642877581317</v>
      </c>
      <c r="Z34" s="9">
        <f t="shared" si="73"/>
        <v>179.65642877581317</v>
      </c>
      <c r="AA34" s="80">
        <f>Z34*(1+16102000/'Rev Req''t_yrs 1-3'!$E$11)</f>
        <v>185.63629862093944</v>
      </c>
      <c r="AB34" s="9">
        <f t="shared" ref="AB34:AL34" si="74">+AA34</f>
        <v>185.63629862093944</v>
      </c>
      <c r="AC34" s="9">
        <f t="shared" si="74"/>
        <v>185.63629862093944</v>
      </c>
      <c r="AD34" s="9">
        <f t="shared" si="74"/>
        <v>185.63629862093944</v>
      </c>
      <c r="AE34" s="9">
        <f t="shared" si="74"/>
        <v>185.63629862093944</v>
      </c>
      <c r="AF34" s="9">
        <f t="shared" si="74"/>
        <v>185.63629862093944</v>
      </c>
      <c r="AG34" s="9">
        <f t="shared" si="74"/>
        <v>185.63629862093944</v>
      </c>
      <c r="AH34" s="9">
        <f t="shared" si="74"/>
        <v>185.63629862093944</v>
      </c>
      <c r="AI34" s="9">
        <f t="shared" si="74"/>
        <v>185.63629862093944</v>
      </c>
      <c r="AJ34" s="9">
        <f t="shared" si="74"/>
        <v>185.63629862093944</v>
      </c>
      <c r="AK34" s="9">
        <f t="shared" si="74"/>
        <v>185.63629862093944</v>
      </c>
      <c r="AL34" s="9">
        <f t="shared" si="74"/>
        <v>185.63629862093944</v>
      </c>
      <c r="AM34" s="37" t="s">
        <v>10</v>
      </c>
    </row>
    <row r="35" spans="1:40" x14ac:dyDescent="0.55000000000000004">
      <c r="A35" s="2" t="s">
        <v>16</v>
      </c>
      <c r="B35" s="79">
        <v>222.38</v>
      </c>
      <c r="C35" s="79">
        <v>222.38</v>
      </c>
      <c r="D35" s="9">
        <f t="shared" ref="D35:N35" si="75">+C35</f>
        <v>222.38</v>
      </c>
      <c r="E35" s="9">
        <f t="shared" si="75"/>
        <v>222.38</v>
      </c>
      <c r="F35" s="9">
        <f t="shared" si="75"/>
        <v>222.38</v>
      </c>
      <c r="G35" s="9">
        <f t="shared" si="75"/>
        <v>222.38</v>
      </c>
      <c r="H35" s="9">
        <f t="shared" si="75"/>
        <v>222.38</v>
      </c>
      <c r="I35" s="79">
        <v>222.51</v>
      </c>
      <c r="J35" s="9">
        <f t="shared" si="75"/>
        <v>222.51</v>
      </c>
      <c r="K35" s="9">
        <f t="shared" si="75"/>
        <v>222.51</v>
      </c>
      <c r="L35" s="9">
        <f t="shared" si="75"/>
        <v>222.51</v>
      </c>
      <c r="M35" s="79">
        <v>271.43</v>
      </c>
      <c r="N35" s="9">
        <f t="shared" si="75"/>
        <v>271.43</v>
      </c>
      <c r="O35" s="77">
        <v>282.86</v>
      </c>
      <c r="P35" s="9">
        <f t="shared" si="57"/>
        <v>282.86</v>
      </c>
      <c r="Q35" s="9">
        <f t="shared" ref="Q35:Z35" si="76">+P35</f>
        <v>282.86</v>
      </c>
      <c r="R35" s="9">
        <f t="shared" si="76"/>
        <v>282.86</v>
      </c>
      <c r="S35" s="9">
        <f t="shared" si="76"/>
        <v>282.86</v>
      </c>
      <c r="T35" s="9">
        <f t="shared" si="76"/>
        <v>282.86</v>
      </c>
      <c r="U35" s="9">
        <f t="shared" si="76"/>
        <v>282.86</v>
      </c>
      <c r="V35" s="9">
        <f t="shared" si="76"/>
        <v>282.86</v>
      </c>
      <c r="W35" s="9">
        <f t="shared" si="76"/>
        <v>282.86</v>
      </c>
      <c r="X35" s="9">
        <f t="shared" si="76"/>
        <v>282.86</v>
      </c>
      <c r="Y35" s="9">
        <f t="shared" si="76"/>
        <v>282.86</v>
      </c>
      <c r="Z35" s="9">
        <f t="shared" si="76"/>
        <v>282.86</v>
      </c>
      <c r="AA35" s="80">
        <f>Z35*(1+16102000/'Rev Req''t_yrs 1-3'!$E$11)</f>
        <v>292.27500393789495</v>
      </c>
      <c r="AB35" s="9">
        <f t="shared" ref="AB35:AL35" si="77">+AA35</f>
        <v>292.27500393789495</v>
      </c>
      <c r="AC35" s="9">
        <f t="shared" si="77"/>
        <v>292.27500393789495</v>
      </c>
      <c r="AD35" s="9">
        <f t="shared" si="77"/>
        <v>292.27500393789495</v>
      </c>
      <c r="AE35" s="9">
        <f t="shared" si="77"/>
        <v>292.27500393789495</v>
      </c>
      <c r="AF35" s="9">
        <f t="shared" si="77"/>
        <v>292.27500393789495</v>
      </c>
      <c r="AG35" s="9">
        <f t="shared" si="77"/>
        <v>292.27500393789495</v>
      </c>
      <c r="AH35" s="9">
        <f t="shared" si="77"/>
        <v>292.27500393789495</v>
      </c>
      <c r="AI35" s="9">
        <f t="shared" si="77"/>
        <v>292.27500393789495</v>
      </c>
      <c r="AJ35" s="9">
        <f t="shared" si="77"/>
        <v>292.27500393789495</v>
      </c>
      <c r="AK35" s="9">
        <f t="shared" si="77"/>
        <v>292.27500393789495</v>
      </c>
      <c r="AL35" s="9">
        <f t="shared" si="77"/>
        <v>292.27500393789495</v>
      </c>
      <c r="AM35" s="37" t="s">
        <v>10</v>
      </c>
    </row>
    <row r="36" spans="1:40" x14ac:dyDescent="0.55000000000000004">
      <c r="A36" s="2" t="s">
        <v>17</v>
      </c>
      <c r="B36" s="79">
        <v>416.95</v>
      </c>
      <c r="C36" s="79">
        <v>416.95</v>
      </c>
      <c r="D36" s="9">
        <f t="shared" ref="D36:N36" si="78">+C36</f>
        <v>416.95</v>
      </c>
      <c r="E36" s="9">
        <f t="shared" si="78"/>
        <v>416.95</v>
      </c>
      <c r="F36" s="9">
        <f t="shared" si="78"/>
        <v>416.95</v>
      </c>
      <c r="G36" s="9">
        <f t="shared" si="78"/>
        <v>416.95</v>
      </c>
      <c r="H36" s="9">
        <f t="shared" si="78"/>
        <v>416.95</v>
      </c>
      <c r="I36" s="79">
        <v>417.19</v>
      </c>
      <c r="J36" s="9">
        <f t="shared" si="78"/>
        <v>417.19</v>
      </c>
      <c r="K36" s="9">
        <f t="shared" si="78"/>
        <v>417.19</v>
      </c>
      <c r="L36" s="9">
        <f t="shared" si="78"/>
        <v>417.19</v>
      </c>
      <c r="M36" s="79">
        <v>508.92</v>
      </c>
      <c r="N36" s="9">
        <f t="shared" si="78"/>
        <v>508.92</v>
      </c>
      <c r="O36" s="77">
        <v>530.36</v>
      </c>
      <c r="P36" s="9">
        <f t="shared" si="57"/>
        <v>530.36</v>
      </c>
      <c r="Q36" s="9">
        <f t="shared" ref="Q36:Z36" si="79">+P36</f>
        <v>530.36</v>
      </c>
      <c r="R36" s="9">
        <f t="shared" si="79"/>
        <v>530.36</v>
      </c>
      <c r="S36" s="9">
        <f t="shared" si="79"/>
        <v>530.36</v>
      </c>
      <c r="T36" s="9">
        <f t="shared" si="79"/>
        <v>530.36</v>
      </c>
      <c r="U36" s="9">
        <f t="shared" si="79"/>
        <v>530.36</v>
      </c>
      <c r="V36" s="9">
        <f t="shared" si="79"/>
        <v>530.36</v>
      </c>
      <c r="W36" s="9">
        <f t="shared" si="79"/>
        <v>530.36</v>
      </c>
      <c r="X36" s="9">
        <f t="shared" si="79"/>
        <v>530.36</v>
      </c>
      <c r="Y36" s="9">
        <f t="shared" si="79"/>
        <v>530.36</v>
      </c>
      <c r="Z36" s="9">
        <f t="shared" si="79"/>
        <v>530.36</v>
      </c>
      <c r="AA36" s="80">
        <f>Z36*(1+16102000/'Rev Req''t_yrs 1-3'!$E$11)</f>
        <v>548.01304917097491</v>
      </c>
      <c r="AB36" s="9">
        <f t="shared" ref="AB36:AL36" si="80">+AA36</f>
        <v>548.01304917097491</v>
      </c>
      <c r="AC36" s="9">
        <f t="shared" si="80"/>
        <v>548.01304917097491</v>
      </c>
      <c r="AD36" s="9">
        <f t="shared" si="80"/>
        <v>548.01304917097491</v>
      </c>
      <c r="AE36" s="9">
        <f t="shared" si="80"/>
        <v>548.01304917097491</v>
      </c>
      <c r="AF36" s="9">
        <f t="shared" si="80"/>
        <v>548.01304917097491</v>
      </c>
      <c r="AG36" s="9">
        <f t="shared" si="80"/>
        <v>548.01304917097491</v>
      </c>
      <c r="AH36" s="9">
        <f t="shared" si="80"/>
        <v>548.01304917097491</v>
      </c>
      <c r="AI36" s="9">
        <f t="shared" si="80"/>
        <v>548.01304917097491</v>
      </c>
      <c r="AJ36" s="9">
        <f t="shared" si="80"/>
        <v>548.01304917097491</v>
      </c>
      <c r="AK36" s="9">
        <f t="shared" si="80"/>
        <v>548.01304917097491</v>
      </c>
      <c r="AL36" s="9">
        <f t="shared" si="80"/>
        <v>548.01304917097491</v>
      </c>
      <c r="AM36" s="37" t="s">
        <v>10</v>
      </c>
    </row>
    <row r="37" spans="1:40" x14ac:dyDescent="0.55000000000000004">
      <c r="A37" s="2" t="s">
        <v>18</v>
      </c>
      <c r="B37" s="79">
        <v>694.94</v>
      </c>
      <c r="C37" s="79">
        <v>694.94</v>
      </c>
      <c r="D37" s="9">
        <f t="shared" ref="D37:N37" si="81">+C37</f>
        <v>694.94</v>
      </c>
      <c r="E37" s="9">
        <f t="shared" si="81"/>
        <v>694.94</v>
      </c>
      <c r="F37" s="9">
        <f t="shared" si="81"/>
        <v>694.94</v>
      </c>
      <c r="G37" s="9">
        <f t="shared" si="81"/>
        <v>694.94</v>
      </c>
      <c r="H37" s="9">
        <f t="shared" si="81"/>
        <v>694.94</v>
      </c>
      <c r="I37" s="79">
        <v>695.31</v>
      </c>
      <c r="J37" s="9">
        <f t="shared" si="81"/>
        <v>695.31</v>
      </c>
      <c r="K37" s="9">
        <f t="shared" si="81"/>
        <v>695.31</v>
      </c>
      <c r="L37" s="9">
        <f t="shared" si="81"/>
        <v>695.31</v>
      </c>
      <c r="M37" s="79">
        <v>848.18999999999994</v>
      </c>
      <c r="N37" s="9">
        <f t="shared" si="81"/>
        <v>848.18999999999994</v>
      </c>
      <c r="O37" s="77">
        <v>883.92</v>
      </c>
      <c r="P37" s="9">
        <f t="shared" si="57"/>
        <v>883.92</v>
      </c>
      <c r="Q37" s="9">
        <f t="shared" ref="Q37:Z37" si="82">+P37</f>
        <v>883.92</v>
      </c>
      <c r="R37" s="9">
        <f t="shared" si="82"/>
        <v>883.92</v>
      </c>
      <c r="S37" s="9">
        <f t="shared" si="82"/>
        <v>883.92</v>
      </c>
      <c r="T37" s="9">
        <f t="shared" si="82"/>
        <v>883.92</v>
      </c>
      <c r="U37" s="9">
        <f t="shared" si="82"/>
        <v>883.92</v>
      </c>
      <c r="V37" s="9">
        <f t="shared" si="82"/>
        <v>883.92</v>
      </c>
      <c r="W37" s="9">
        <f t="shared" si="82"/>
        <v>883.92</v>
      </c>
      <c r="X37" s="9">
        <f t="shared" si="82"/>
        <v>883.92</v>
      </c>
      <c r="Y37" s="9">
        <f t="shared" si="82"/>
        <v>883.92</v>
      </c>
      <c r="Z37" s="9">
        <f t="shared" si="82"/>
        <v>883.92</v>
      </c>
      <c r="AA37" s="80">
        <f>Z37*(1+16102000/'Rev Req''t_yrs 1-3'!$E$11)</f>
        <v>913.34130481787486</v>
      </c>
      <c r="AB37" s="9">
        <f t="shared" ref="AB37:AL37" si="83">+AA37</f>
        <v>913.34130481787486</v>
      </c>
      <c r="AC37" s="9">
        <f t="shared" si="83"/>
        <v>913.34130481787486</v>
      </c>
      <c r="AD37" s="9">
        <f t="shared" si="83"/>
        <v>913.34130481787486</v>
      </c>
      <c r="AE37" s="9">
        <f t="shared" si="83"/>
        <v>913.34130481787486</v>
      </c>
      <c r="AF37" s="9">
        <f t="shared" si="83"/>
        <v>913.34130481787486</v>
      </c>
      <c r="AG37" s="9">
        <f t="shared" si="83"/>
        <v>913.34130481787486</v>
      </c>
      <c r="AH37" s="9">
        <f t="shared" si="83"/>
        <v>913.34130481787486</v>
      </c>
      <c r="AI37" s="9">
        <f t="shared" si="83"/>
        <v>913.34130481787486</v>
      </c>
      <c r="AJ37" s="9">
        <f t="shared" si="83"/>
        <v>913.34130481787486</v>
      </c>
      <c r="AK37" s="9">
        <f t="shared" si="83"/>
        <v>913.34130481787486</v>
      </c>
      <c r="AL37" s="9">
        <f t="shared" si="83"/>
        <v>913.34130481787486</v>
      </c>
      <c r="AM37" s="37" t="s">
        <v>10</v>
      </c>
    </row>
    <row r="38" spans="1:40" x14ac:dyDescent="0.55000000000000004">
      <c r="A38" s="2" t="s">
        <v>19</v>
      </c>
      <c r="B38" s="79">
        <v>1389.83</v>
      </c>
      <c r="C38" s="79">
        <v>1389.83</v>
      </c>
      <c r="D38" s="9">
        <f t="shared" ref="D38:N38" si="84">+C38</f>
        <v>1389.83</v>
      </c>
      <c r="E38" s="9">
        <f t="shared" si="84"/>
        <v>1389.83</v>
      </c>
      <c r="F38" s="9">
        <f t="shared" si="84"/>
        <v>1389.83</v>
      </c>
      <c r="G38" s="9">
        <f t="shared" si="84"/>
        <v>1389.83</v>
      </c>
      <c r="H38" s="9">
        <f t="shared" si="84"/>
        <v>1389.83</v>
      </c>
      <c r="I38" s="79">
        <v>1390.64</v>
      </c>
      <c r="J38" s="9">
        <f t="shared" si="84"/>
        <v>1390.64</v>
      </c>
      <c r="K38" s="9">
        <f t="shared" si="84"/>
        <v>1390.64</v>
      </c>
      <c r="L38" s="9">
        <f t="shared" si="84"/>
        <v>1390.64</v>
      </c>
      <c r="M38" s="79">
        <v>1696.3999999999999</v>
      </c>
      <c r="N38" s="9">
        <f t="shared" si="84"/>
        <v>1696.3999999999999</v>
      </c>
      <c r="O38" s="77">
        <v>1767.86</v>
      </c>
      <c r="P38" s="9">
        <f t="shared" si="57"/>
        <v>1767.86</v>
      </c>
      <c r="Q38" s="9">
        <f t="shared" ref="Q38:Z38" si="85">+P38</f>
        <v>1767.86</v>
      </c>
      <c r="R38" s="9">
        <f t="shared" si="85"/>
        <v>1767.86</v>
      </c>
      <c r="S38" s="9">
        <f t="shared" si="85"/>
        <v>1767.86</v>
      </c>
      <c r="T38" s="9">
        <f t="shared" si="85"/>
        <v>1767.86</v>
      </c>
      <c r="U38" s="9">
        <f t="shared" si="85"/>
        <v>1767.86</v>
      </c>
      <c r="V38" s="9">
        <f t="shared" si="85"/>
        <v>1767.86</v>
      </c>
      <c r="W38" s="9">
        <f t="shared" si="85"/>
        <v>1767.86</v>
      </c>
      <c r="X38" s="9">
        <f t="shared" si="85"/>
        <v>1767.86</v>
      </c>
      <c r="Y38" s="9">
        <f t="shared" si="85"/>
        <v>1767.86</v>
      </c>
      <c r="Z38" s="9">
        <f t="shared" si="85"/>
        <v>1767.86</v>
      </c>
      <c r="AA38" s="80">
        <f>Z38*(1+16102000/'Rev Req''t_yrs 1-3'!$E$11)</f>
        <v>1826.7032753363744</v>
      </c>
      <c r="AB38" s="9">
        <f t="shared" ref="AB38:AL38" si="86">+AA38</f>
        <v>1826.7032753363744</v>
      </c>
      <c r="AC38" s="9">
        <f t="shared" si="86"/>
        <v>1826.7032753363744</v>
      </c>
      <c r="AD38" s="9">
        <f t="shared" si="86"/>
        <v>1826.7032753363744</v>
      </c>
      <c r="AE38" s="9">
        <f t="shared" si="86"/>
        <v>1826.7032753363744</v>
      </c>
      <c r="AF38" s="9">
        <f t="shared" si="86"/>
        <v>1826.7032753363744</v>
      </c>
      <c r="AG38" s="9">
        <f t="shared" si="86"/>
        <v>1826.7032753363744</v>
      </c>
      <c r="AH38" s="9">
        <f t="shared" si="86"/>
        <v>1826.7032753363744</v>
      </c>
      <c r="AI38" s="9">
        <f t="shared" si="86"/>
        <v>1826.7032753363744</v>
      </c>
      <c r="AJ38" s="9">
        <f t="shared" si="86"/>
        <v>1826.7032753363744</v>
      </c>
      <c r="AK38" s="9">
        <f t="shared" si="86"/>
        <v>1826.7032753363744</v>
      </c>
      <c r="AL38" s="9">
        <f t="shared" si="86"/>
        <v>1826.7032753363744</v>
      </c>
      <c r="AM38" s="37" t="s">
        <v>10</v>
      </c>
    </row>
    <row r="39" spans="1:40" x14ac:dyDescent="0.55000000000000004">
      <c r="A39" s="2" t="s">
        <v>20</v>
      </c>
      <c r="B39" s="79">
        <v>2223.7399999999998</v>
      </c>
      <c r="C39" s="79">
        <v>2223.7399999999998</v>
      </c>
      <c r="D39" s="9">
        <f t="shared" ref="D39:N39" si="87">+C39</f>
        <v>2223.7399999999998</v>
      </c>
      <c r="E39" s="9">
        <f t="shared" si="87"/>
        <v>2223.7399999999998</v>
      </c>
      <c r="F39" s="9">
        <f t="shared" si="87"/>
        <v>2223.7399999999998</v>
      </c>
      <c r="G39" s="9">
        <f t="shared" si="87"/>
        <v>2223.7399999999998</v>
      </c>
      <c r="H39" s="9">
        <f t="shared" si="87"/>
        <v>2223.7399999999998</v>
      </c>
      <c r="I39" s="79">
        <v>2225.0300000000002</v>
      </c>
      <c r="J39" s="9">
        <f t="shared" si="87"/>
        <v>2225.0300000000002</v>
      </c>
      <c r="K39" s="9">
        <f t="shared" si="87"/>
        <v>2225.0300000000002</v>
      </c>
      <c r="L39" s="9">
        <f t="shared" si="87"/>
        <v>2225.0300000000002</v>
      </c>
      <c r="M39" s="79">
        <v>2714.25</v>
      </c>
      <c r="N39" s="9">
        <f t="shared" si="87"/>
        <v>2714.25</v>
      </c>
      <c r="O39" s="77">
        <v>2828.58</v>
      </c>
      <c r="P39" s="9">
        <f t="shared" si="57"/>
        <v>2828.58</v>
      </c>
      <c r="Q39" s="9">
        <f t="shared" ref="Q39:Z39" si="88">+P39</f>
        <v>2828.58</v>
      </c>
      <c r="R39" s="9">
        <f t="shared" si="88"/>
        <v>2828.58</v>
      </c>
      <c r="S39" s="9">
        <f t="shared" si="88"/>
        <v>2828.58</v>
      </c>
      <c r="T39" s="9">
        <f t="shared" si="88"/>
        <v>2828.58</v>
      </c>
      <c r="U39" s="9">
        <f t="shared" si="88"/>
        <v>2828.58</v>
      </c>
      <c r="V39" s="9">
        <f t="shared" si="88"/>
        <v>2828.58</v>
      </c>
      <c r="W39" s="9">
        <f t="shared" si="88"/>
        <v>2828.58</v>
      </c>
      <c r="X39" s="9">
        <f t="shared" si="88"/>
        <v>2828.58</v>
      </c>
      <c r="Y39" s="9">
        <f t="shared" si="88"/>
        <v>2828.58</v>
      </c>
      <c r="Z39" s="9">
        <f t="shared" si="88"/>
        <v>2828.58</v>
      </c>
      <c r="AA39" s="80">
        <f>Z39*(1+16102000/'Rev Req''t_yrs 1-3'!$E$11)</f>
        <v>2922.729373678324</v>
      </c>
      <c r="AB39" s="9">
        <f t="shared" ref="AB39:AL39" si="89">+AA39</f>
        <v>2922.729373678324</v>
      </c>
      <c r="AC39" s="9">
        <f t="shared" si="89"/>
        <v>2922.729373678324</v>
      </c>
      <c r="AD39" s="9">
        <f t="shared" si="89"/>
        <v>2922.729373678324</v>
      </c>
      <c r="AE39" s="9">
        <f t="shared" si="89"/>
        <v>2922.729373678324</v>
      </c>
      <c r="AF39" s="9">
        <f t="shared" si="89"/>
        <v>2922.729373678324</v>
      </c>
      <c r="AG39" s="9">
        <f t="shared" si="89"/>
        <v>2922.729373678324</v>
      </c>
      <c r="AH39" s="9">
        <f t="shared" si="89"/>
        <v>2922.729373678324</v>
      </c>
      <c r="AI39" s="9">
        <f t="shared" si="89"/>
        <v>2922.729373678324</v>
      </c>
      <c r="AJ39" s="9">
        <f t="shared" si="89"/>
        <v>2922.729373678324</v>
      </c>
      <c r="AK39" s="9">
        <f t="shared" si="89"/>
        <v>2922.729373678324</v>
      </c>
      <c r="AL39" s="9">
        <f t="shared" si="89"/>
        <v>2922.729373678324</v>
      </c>
      <c r="AM39" s="37" t="s">
        <v>10</v>
      </c>
    </row>
    <row r="40" spans="1:40" x14ac:dyDescent="0.55000000000000004">
      <c r="A40" s="2" t="s">
        <v>21</v>
      </c>
      <c r="B40" s="79">
        <v>3196.6</v>
      </c>
      <c r="C40" s="79">
        <v>3196.6</v>
      </c>
      <c r="D40" s="9">
        <f t="shared" ref="D40:N40" si="90">+C40</f>
        <v>3196.6</v>
      </c>
      <c r="E40" s="9">
        <f t="shared" si="90"/>
        <v>3196.6</v>
      </c>
      <c r="F40" s="9">
        <f t="shared" si="90"/>
        <v>3196.6</v>
      </c>
      <c r="G40" s="9">
        <f t="shared" si="90"/>
        <v>3196.6</v>
      </c>
      <c r="H40" s="9">
        <f t="shared" si="90"/>
        <v>3196.6</v>
      </c>
      <c r="I40" s="79">
        <v>3198.46</v>
      </c>
      <c r="J40" s="9">
        <f t="shared" si="90"/>
        <v>3198.46</v>
      </c>
      <c r="K40" s="9">
        <f t="shared" si="90"/>
        <v>3198.46</v>
      </c>
      <c r="L40" s="9">
        <f t="shared" si="90"/>
        <v>3198.46</v>
      </c>
      <c r="M40" s="79">
        <v>3901.71</v>
      </c>
      <c r="N40" s="9">
        <f t="shared" si="90"/>
        <v>3901.71</v>
      </c>
      <c r="O40" s="77">
        <v>4066.06</v>
      </c>
      <c r="P40" s="9">
        <f t="shared" si="57"/>
        <v>4066.06</v>
      </c>
      <c r="Q40" s="9">
        <f t="shared" ref="Q40:Z40" si="91">+P40</f>
        <v>4066.06</v>
      </c>
      <c r="R40" s="9">
        <f t="shared" si="91"/>
        <v>4066.06</v>
      </c>
      <c r="S40" s="9">
        <f t="shared" si="91"/>
        <v>4066.06</v>
      </c>
      <c r="T40" s="9">
        <f t="shared" si="91"/>
        <v>4066.06</v>
      </c>
      <c r="U40" s="9">
        <f t="shared" si="91"/>
        <v>4066.06</v>
      </c>
      <c r="V40" s="9">
        <f t="shared" si="91"/>
        <v>4066.06</v>
      </c>
      <c r="W40" s="9">
        <f t="shared" si="91"/>
        <v>4066.06</v>
      </c>
      <c r="X40" s="9">
        <f t="shared" si="91"/>
        <v>4066.06</v>
      </c>
      <c r="Y40" s="9">
        <f t="shared" si="91"/>
        <v>4066.06</v>
      </c>
      <c r="Z40" s="9">
        <f t="shared" si="91"/>
        <v>4066.06</v>
      </c>
      <c r="AA40" s="80">
        <f>Z40*(1+16102000/'Rev Req''t_yrs 1-3'!$E$11)</f>
        <v>4201.3989341430988</v>
      </c>
      <c r="AB40" s="9">
        <f t="shared" ref="AB40:AL40" si="92">+AA40</f>
        <v>4201.3989341430988</v>
      </c>
      <c r="AC40" s="9">
        <f t="shared" si="92"/>
        <v>4201.3989341430988</v>
      </c>
      <c r="AD40" s="9">
        <f t="shared" si="92"/>
        <v>4201.3989341430988</v>
      </c>
      <c r="AE40" s="9">
        <f t="shared" si="92"/>
        <v>4201.3989341430988</v>
      </c>
      <c r="AF40" s="9">
        <f t="shared" si="92"/>
        <v>4201.3989341430988</v>
      </c>
      <c r="AG40" s="9">
        <f t="shared" si="92"/>
        <v>4201.3989341430988</v>
      </c>
      <c r="AH40" s="9">
        <f t="shared" si="92"/>
        <v>4201.3989341430988</v>
      </c>
      <c r="AI40" s="9">
        <f t="shared" si="92"/>
        <v>4201.3989341430988</v>
      </c>
      <c r="AJ40" s="9">
        <f t="shared" si="92"/>
        <v>4201.3989341430988</v>
      </c>
      <c r="AK40" s="9">
        <f t="shared" si="92"/>
        <v>4201.3989341430988</v>
      </c>
      <c r="AL40" s="9">
        <f t="shared" si="92"/>
        <v>4201.3989341430988</v>
      </c>
      <c r="AM40" s="37" t="s">
        <v>10</v>
      </c>
    </row>
    <row r="41" spans="1:40" x14ac:dyDescent="0.55000000000000004">
      <c r="A41" s="2" t="s">
        <v>22</v>
      </c>
      <c r="B41" s="79" t="s">
        <v>220</v>
      </c>
      <c r="C41" s="79" t="s">
        <v>220</v>
      </c>
      <c r="D41" s="9" t="str">
        <f t="shared" ref="D41:N41" si="93">+C41</f>
        <v>NA</v>
      </c>
      <c r="E41" s="9" t="str">
        <f t="shared" si="93"/>
        <v>NA</v>
      </c>
      <c r="F41" s="9" t="str">
        <f t="shared" si="93"/>
        <v>NA</v>
      </c>
      <c r="G41" s="9" t="str">
        <f t="shared" si="93"/>
        <v>NA</v>
      </c>
      <c r="H41" s="9" t="str">
        <f t="shared" si="93"/>
        <v>NA</v>
      </c>
      <c r="I41" s="79" t="s">
        <v>220</v>
      </c>
      <c r="J41" s="9" t="str">
        <f t="shared" si="93"/>
        <v>NA</v>
      </c>
      <c r="K41" s="9" t="str">
        <f t="shared" si="93"/>
        <v>NA</v>
      </c>
      <c r="L41" s="9" t="str">
        <f t="shared" si="93"/>
        <v>NA</v>
      </c>
      <c r="M41" s="79" t="s">
        <v>220</v>
      </c>
      <c r="N41" s="9" t="str">
        <f t="shared" si="93"/>
        <v>NA</v>
      </c>
      <c r="O41" s="79" t="s">
        <v>82</v>
      </c>
      <c r="P41" s="9" t="str">
        <f t="shared" ref="P41:Z41" si="94">+O41</f>
        <v>N/A</v>
      </c>
      <c r="Q41" s="9" t="str">
        <f t="shared" si="94"/>
        <v>N/A</v>
      </c>
      <c r="R41" s="9" t="str">
        <f t="shared" si="94"/>
        <v>N/A</v>
      </c>
      <c r="S41" s="9" t="str">
        <f t="shared" si="94"/>
        <v>N/A</v>
      </c>
      <c r="T41" s="9" t="str">
        <f t="shared" si="94"/>
        <v>N/A</v>
      </c>
      <c r="U41" s="9" t="str">
        <f t="shared" si="94"/>
        <v>N/A</v>
      </c>
      <c r="V41" s="9" t="str">
        <f t="shared" si="94"/>
        <v>N/A</v>
      </c>
      <c r="W41" s="9" t="str">
        <f t="shared" si="94"/>
        <v>N/A</v>
      </c>
      <c r="X41" s="9" t="str">
        <f t="shared" si="94"/>
        <v>N/A</v>
      </c>
      <c r="Y41" s="9" t="str">
        <f t="shared" si="94"/>
        <v>N/A</v>
      </c>
      <c r="Z41" s="9" t="str">
        <f t="shared" si="94"/>
        <v>N/A</v>
      </c>
      <c r="AA41" s="78" t="s">
        <v>82</v>
      </c>
      <c r="AB41" s="9" t="str">
        <f t="shared" ref="AB41:AL41" si="95">+AA41</f>
        <v>N/A</v>
      </c>
      <c r="AC41" s="9" t="str">
        <f t="shared" si="95"/>
        <v>N/A</v>
      </c>
      <c r="AD41" s="9" t="str">
        <f t="shared" si="95"/>
        <v>N/A</v>
      </c>
      <c r="AE41" s="9" t="str">
        <f t="shared" si="95"/>
        <v>N/A</v>
      </c>
      <c r="AF41" s="9" t="str">
        <f t="shared" si="95"/>
        <v>N/A</v>
      </c>
      <c r="AG41" s="9" t="str">
        <f t="shared" si="95"/>
        <v>N/A</v>
      </c>
      <c r="AH41" s="9" t="str">
        <f t="shared" si="95"/>
        <v>N/A</v>
      </c>
      <c r="AI41" s="9" t="str">
        <f t="shared" si="95"/>
        <v>N/A</v>
      </c>
      <c r="AJ41" s="9" t="str">
        <f t="shared" si="95"/>
        <v>N/A</v>
      </c>
      <c r="AK41" s="9" t="str">
        <f t="shared" si="95"/>
        <v>N/A</v>
      </c>
      <c r="AL41" s="9" t="str">
        <f t="shared" si="95"/>
        <v>N/A</v>
      </c>
      <c r="AM41" s="37" t="s">
        <v>10</v>
      </c>
    </row>
    <row r="42" spans="1:40" x14ac:dyDescent="0.55000000000000004">
      <c r="A42" s="2" t="s">
        <v>23</v>
      </c>
      <c r="B42" s="79" t="s">
        <v>220</v>
      </c>
      <c r="C42" s="79" t="s">
        <v>220</v>
      </c>
      <c r="D42" s="9" t="str">
        <f t="shared" ref="D42:N42" si="96">+C42</f>
        <v>NA</v>
      </c>
      <c r="E42" s="9" t="str">
        <f t="shared" si="96"/>
        <v>NA</v>
      </c>
      <c r="F42" s="9" t="str">
        <f t="shared" si="96"/>
        <v>NA</v>
      </c>
      <c r="G42" s="9" t="str">
        <f t="shared" si="96"/>
        <v>NA</v>
      </c>
      <c r="H42" s="9" t="str">
        <f t="shared" si="96"/>
        <v>NA</v>
      </c>
      <c r="I42" s="79" t="s">
        <v>220</v>
      </c>
      <c r="J42" s="9" t="str">
        <f t="shared" si="96"/>
        <v>NA</v>
      </c>
      <c r="K42" s="9" t="str">
        <f t="shared" si="96"/>
        <v>NA</v>
      </c>
      <c r="L42" s="9" t="str">
        <f t="shared" si="96"/>
        <v>NA</v>
      </c>
      <c r="M42" s="79" t="s">
        <v>220</v>
      </c>
      <c r="N42" s="9" t="str">
        <f t="shared" si="96"/>
        <v>NA</v>
      </c>
      <c r="O42" s="79" t="s">
        <v>82</v>
      </c>
      <c r="P42" s="9" t="str">
        <f t="shared" ref="P42:Z42" si="97">+O42</f>
        <v>N/A</v>
      </c>
      <c r="Q42" s="9" t="str">
        <f t="shared" si="97"/>
        <v>N/A</v>
      </c>
      <c r="R42" s="9" t="str">
        <f t="shared" si="97"/>
        <v>N/A</v>
      </c>
      <c r="S42" s="9" t="str">
        <f t="shared" si="97"/>
        <v>N/A</v>
      </c>
      <c r="T42" s="9" t="str">
        <f t="shared" si="97"/>
        <v>N/A</v>
      </c>
      <c r="U42" s="9" t="str">
        <f t="shared" si="97"/>
        <v>N/A</v>
      </c>
      <c r="V42" s="9" t="str">
        <f t="shared" si="97"/>
        <v>N/A</v>
      </c>
      <c r="W42" s="9" t="str">
        <f t="shared" si="97"/>
        <v>N/A</v>
      </c>
      <c r="X42" s="9" t="str">
        <f t="shared" si="97"/>
        <v>N/A</v>
      </c>
      <c r="Y42" s="9" t="str">
        <f t="shared" si="97"/>
        <v>N/A</v>
      </c>
      <c r="Z42" s="9" t="str">
        <f t="shared" si="97"/>
        <v>N/A</v>
      </c>
      <c r="AA42" s="78" t="s">
        <v>82</v>
      </c>
      <c r="AB42" s="9" t="str">
        <f t="shared" ref="AB42:AL42" si="98">+AA42</f>
        <v>N/A</v>
      </c>
      <c r="AC42" s="9" t="str">
        <f t="shared" si="98"/>
        <v>N/A</v>
      </c>
      <c r="AD42" s="9" t="str">
        <f t="shared" si="98"/>
        <v>N/A</v>
      </c>
      <c r="AE42" s="9" t="str">
        <f t="shared" si="98"/>
        <v>N/A</v>
      </c>
      <c r="AF42" s="9" t="str">
        <f t="shared" si="98"/>
        <v>N/A</v>
      </c>
      <c r="AG42" s="9" t="str">
        <f t="shared" si="98"/>
        <v>N/A</v>
      </c>
      <c r="AH42" s="9" t="str">
        <f t="shared" si="98"/>
        <v>N/A</v>
      </c>
      <c r="AI42" s="9" t="str">
        <f t="shared" si="98"/>
        <v>N/A</v>
      </c>
      <c r="AJ42" s="9" t="str">
        <f t="shared" si="98"/>
        <v>N/A</v>
      </c>
      <c r="AK42" s="9" t="str">
        <f t="shared" si="98"/>
        <v>N/A</v>
      </c>
      <c r="AL42" s="9" t="str">
        <f t="shared" si="98"/>
        <v>N/A</v>
      </c>
      <c r="AM42" s="37" t="s">
        <v>10</v>
      </c>
    </row>
    <row r="43" spans="1:40" x14ac:dyDescent="0.5500000000000000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37"/>
    </row>
    <row r="44" spans="1:40" x14ac:dyDescent="0.55000000000000004">
      <c r="A44" s="1" t="s">
        <v>170</v>
      </c>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37"/>
    </row>
    <row r="45" spans="1:40" x14ac:dyDescent="0.55000000000000004">
      <c r="A45" s="1" t="s">
        <v>34</v>
      </c>
      <c r="B45" s="1" t="s">
        <v>109</v>
      </c>
      <c r="C45" s="5" t="str">
        <f t="shared" ref="C45:AM45" si="99">+B27</f>
        <v>January 2022</v>
      </c>
      <c r="D45" s="1" t="str">
        <f t="shared" si="99"/>
        <v>January 2022</v>
      </c>
      <c r="E45" s="1" t="str">
        <f t="shared" si="99"/>
        <v>February 2022</v>
      </c>
      <c r="F45" s="1" t="str">
        <f t="shared" si="99"/>
        <v>March 2022</v>
      </c>
      <c r="G45" s="1" t="str">
        <f t="shared" si="99"/>
        <v>April 2022</v>
      </c>
      <c r="H45" s="1" t="str">
        <f t="shared" si="99"/>
        <v>May 2022</v>
      </c>
      <c r="I45" s="1" t="str">
        <f t="shared" si="99"/>
        <v>June 2022</v>
      </c>
      <c r="J45" s="1" t="str">
        <f t="shared" si="99"/>
        <v>July 2022</v>
      </c>
      <c r="K45" s="1" t="str">
        <f t="shared" si="99"/>
        <v>August 2022</v>
      </c>
      <c r="L45" s="1" t="str">
        <f t="shared" si="99"/>
        <v>September 2022</v>
      </c>
      <c r="M45" s="1" t="str">
        <f t="shared" si="99"/>
        <v>October 2022</v>
      </c>
      <c r="N45" s="1" t="str">
        <f t="shared" si="99"/>
        <v>November 2022</v>
      </c>
      <c r="O45" s="1" t="str">
        <f t="shared" si="99"/>
        <v>December 2022</v>
      </c>
      <c r="P45" s="1" t="str">
        <f t="shared" si="99"/>
        <v>January 2023</v>
      </c>
      <c r="Q45" s="1" t="str">
        <f t="shared" si="99"/>
        <v>February 2023</v>
      </c>
      <c r="R45" s="1" t="str">
        <f t="shared" si="99"/>
        <v>March 2023</v>
      </c>
      <c r="S45" s="1" t="str">
        <f t="shared" si="99"/>
        <v>April 2023</v>
      </c>
      <c r="T45" s="41" t="str">
        <f t="shared" si="99"/>
        <v>May 2023</v>
      </c>
      <c r="U45" s="1" t="str">
        <f t="shared" si="99"/>
        <v>June 2023</v>
      </c>
      <c r="V45" s="41" t="str">
        <f t="shared" si="99"/>
        <v>July 2023</v>
      </c>
      <c r="W45" s="1" t="str">
        <f t="shared" si="99"/>
        <v>August 2023</v>
      </c>
      <c r="X45" s="1" t="str">
        <f t="shared" si="99"/>
        <v>September 2023</v>
      </c>
      <c r="Y45" s="1" t="str">
        <f t="shared" si="99"/>
        <v>October 2023</v>
      </c>
      <c r="Z45" s="1" t="str">
        <f t="shared" si="99"/>
        <v>November 2023</v>
      </c>
      <c r="AA45" s="1" t="str">
        <f t="shared" si="99"/>
        <v>December 2023</v>
      </c>
      <c r="AB45" s="1" t="str">
        <f t="shared" si="99"/>
        <v>January 2024</v>
      </c>
      <c r="AC45" s="1" t="str">
        <f t="shared" si="99"/>
        <v>February 2024</v>
      </c>
      <c r="AD45" s="1" t="str">
        <f t="shared" si="99"/>
        <v>March 2024</v>
      </c>
      <c r="AE45" s="1" t="str">
        <f t="shared" si="99"/>
        <v>April 2024</v>
      </c>
      <c r="AF45" s="1" t="str">
        <f t="shared" si="99"/>
        <v>May 2024</v>
      </c>
      <c r="AG45" s="1" t="str">
        <f t="shared" si="99"/>
        <v>June 2024</v>
      </c>
      <c r="AH45" s="1" t="str">
        <f t="shared" si="99"/>
        <v>July 2024</v>
      </c>
      <c r="AI45" s="1" t="str">
        <f t="shared" si="99"/>
        <v>August 2024</v>
      </c>
      <c r="AJ45" s="1" t="str">
        <f t="shared" si="99"/>
        <v>September 2024</v>
      </c>
      <c r="AK45" s="1" t="str">
        <f t="shared" si="99"/>
        <v>October 2024</v>
      </c>
      <c r="AL45" s="1" t="str">
        <f t="shared" si="99"/>
        <v>November 2024</v>
      </c>
      <c r="AM45" s="1" t="str">
        <f t="shared" si="99"/>
        <v>December 2024</v>
      </c>
      <c r="AN45" s="37" t="s">
        <v>10</v>
      </c>
    </row>
    <row r="46" spans="1:40" s="37" customFormat="1" x14ac:dyDescent="0.55000000000000004">
      <c r="A46" s="37" t="s">
        <v>221</v>
      </c>
      <c r="B46" s="48" t="s">
        <v>154</v>
      </c>
      <c r="C46" s="172">
        <v>0.04</v>
      </c>
      <c r="D46" s="172">
        <v>0.04</v>
      </c>
      <c r="E46" s="174">
        <f>+D46</f>
        <v>0.04</v>
      </c>
      <c r="F46" s="188">
        <f t="shared" ref="F46:M46" si="100">+E46</f>
        <v>0.04</v>
      </c>
      <c r="G46" s="188">
        <f t="shared" si="100"/>
        <v>0.04</v>
      </c>
      <c r="H46" s="188">
        <f t="shared" si="100"/>
        <v>0.04</v>
      </c>
      <c r="I46" s="188">
        <f t="shared" si="100"/>
        <v>0.04</v>
      </c>
      <c r="J46" s="188">
        <f t="shared" si="100"/>
        <v>0.04</v>
      </c>
      <c r="K46" s="188">
        <f t="shared" si="100"/>
        <v>0.04</v>
      </c>
      <c r="L46" s="188">
        <f t="shared" si="100"/>
        <v>0.04</v>
      </c>
      <c r="M46" s="188">
        <f t="shared" si="100"/>
        <v>0.04</v>
      </c>
      <c r="N46" s="188">
        <f t="shared" ref="N46:O58" si="101">+M46</f>
        <v>0.04</v>
      </c>
      <c r="O46" s="188">
        <f t="shared" si="101"/>
        <v>0.04</v>
      </c>
      <c r="P46" s="189">
        <v>0.04</v>
      </c>
      <c r="Q46" s="188">
        <f>P46</f>
        <v>0.04</v>
      </c>
      <c r="R46" s="188">
        <f t="shared" ref="R46:Y46" si="102">+Q46</f>
        <v>0.04</v>
      </c>
      <c r="S46" s="188">
        <f t="shared" si="102"/>
        <v>0.04</v>
      </c>
      <c r="T46" s="188">
        <f t="shared" si="102"/>
        <v>0.04</v>
      </c>
      <c r="U46" s="188">
        <f t="shared" si="102"/>
        <v>0.04</v>
      </c>
      <c r="V46" s="188">
        <f t="shared" si="102"/>
        <v>0.04</v>
      </c>
      <c r="W46" s="188">
        <f t="shared" si="102"/>
        <v>0.04</v>
      </c>
      <c r="X46" s="188">
        <f t="shared" si="102"/>
        <v>0.04</v>
      </c>
      <c r="Y46" s="188">
        <f t="shared" si="102"/>
        <v>0.04</v>
      </c>
      <c r="Z46" s="188">
        <f t="shared" ref="Z46:AA58" si="103">+Y46</f>
        <v>0.04</v>
      </c>
      <c r="AA46" s="188">
        <f t="shared" si="103"/>
        <v>0.04</v>
      </c>
      <c r="AB46" s="189">
        <v>0.04</v>
      </c>
      <c r="AC46" s="188">
        <f>+AB46</f>
        <v>0.04</v>
      </c>
      <c r="AD46" s="188">
        <f t="shared" ref="AD46:AK46" si="104">+AC46</f>
        <v>0.04</v>
      </c>
      <c r="AE46" s="188">
        <f t="shared" si="104"/>
        <v>0.04</v>
      </c>
      <c r="AF46" s="188">
        <f t="shared" si="104"/>
        <v>0.04</v>
      </c>
      <c r="AG46" s="188">
        <f t="shared" si="104"/>
        <v>0.04</v>
      </c>
      <c r="AH46" s="188">
        <f t="shared" si="104"/>
        <v>0.04</v>
      </c>
      <c r="AI46" s="188">
        <f t="shared" si="104"/>
        <v>0.04</v>
      </c>
      <c r="AJ46" s="188">
        <f t="shared" si="104"/>
        <v>0.04</v>
      </c>
      <c r="AK46" s="188">
        <f t="shared" si="104"/>
        <v>0.04</v>
      </c>
      <c r="AL46" s="188">
        <f t="shared" ref="AL46:AM58" si="105">+AK46</f>
        <v>0.04</v>
      </c>
      <c r="AM46" s="188">
        <f t="shared" si="105"/>
        <v>0.04</v>
      </c>
      <c r="AN46" s="37" t="s">
        <v>10</v>
      </c>
    </row>
    <row r="47" spans="1:40" s="37" customFormat="1" x14ac:dyDescent="0.55000000000000004">
      <c r="A47" s="37" t="s">
        <v>222</v>
      </c>
      <c r="B47" s="48" t="s">
        <v>154</v>
      </c>
      <c r="C47" s="179">
        <v>0.02</v>
      </c>
      <c r="D47" s="179">
        <v>0.02</v>
      </c>
      <c r="E47" s="174">
        <f t="shared" ref="E47:M58" si="106">+D47</f>
        <v>0.02</v>
      </c>
      <c r="F47" s="188">
        <f t="shared" si="106"/>
        <v>0.02</v>
      </c>
      <c r="G47" s="188">
        <f t="shared" si="106"/>
        <v>0.02</v>
      </c>
      <c r="H47" s="188">
        <f t="shared" si="106"/>
        <v>0.02</v>
      </c>
      <c r="I47" s="188">
        <f t="shared" si="106"/>
        <v>0.02</v>
      </c>
      <c r="J47" s="188">
        <f t="shared" si="106"/>
        <v>0.02</v>
      </c>
      <c r="K47" s="188">
        <f t="shared" si="106"/>
        <v>0.02</v>
      </c>
      <c r="L47" s="188">
        <f t="shared" si="106"/>
        <v>0.02</v>
      </c>
      <c r="M47" s="188">
        <f t="shared" si="106"/>
        <v>0.02</v>
      </c>
      <c r="N47" s="188">
        <f t="shared" si="101"/>
        <v>0.02</v>
      </c>
      <c r="O47" s="188">
        <f t="shared" si="101"/>
        <v>0.02</v>
      </c>
      <c r="P47" s="189">
        <v>0.02</v>
      </c>
      <c r="Q47" s="188">
        <f t="shared" ref="Q47:Q57" si="107">P47</f>
        <v>0.02</v>
      </c>
      <c r="R47" s="188">
        <f t="shared" ref="R47:Y47" si="108">+Q47</f>
        <v>0.02</v>
      </c>
      <c r="S47" s="188">
        <f t="shared" si="108"/>
        <v>0.02</v>
      </c>
      <c r="T47" s="188">
        <f t="shared" si="108"/>
        <v>0.02</v>
      </c>
      <c r="U47" s="188">
        <f t="shared" si="108"/>
        <v>0.02</v>
      </c>
      <c r="V47" s="188">
        <f t="shared" si="108"/>
        <v>0.02</v>
      </c>
      <c r="W47" s="188">
        <f t="shared" si="108"/>
        <v>0.02</v>
      </c>
      <c r="X47" s="188">
        <f t="shared" si="108"/>
        <v>0.02</v>
      </c>
      <c r="Y47" s="188">
        <f t="shared" si="108"/>
        <v>0.02</v>
      </c>
      <c r="Z47" s="188">
        <f t="shared" si="103"/>
        <v>0.02</v>
      </c>
      <c r="AA47" s="188">
        <f t="shared" si="103"/>
        <v>0.02</v>
      </c>
      <c r="AB47" s="189">
        <v>0.02</v>
      </c>
      <c r="AC47" s="188">
        <f t="shared" ref="AC47:AK47" si="109">+AB47</f>
        <v>0.02</v>
      </c>
      <c r="AD47" s="188">
        <f t="shared" si="109"/>
        <v>0.02</v>
      </c>
      <c r="AE47" s="188">
        <f t="shared" si="109"/>
        <v>0.02</v>
      </c>
      <c r="AF47" s="188">
        <f t="shared" si="109"/>
        <v>0.02</v>
      </c>
      <c r="AG47" s="188">
        <f t="shared" si="109"/>
        <v>0.02</v>
      </c>
      <c r="AH47" s="188">
        <f t="shared" si="109"/>
        <v>0.02</v>
      </c>
      <c r="AI47" s="188">
        <f t="shared" si="109"/>
        <v>0.02</v>
      </c>
      <c r="AJ47" s="188">
        <f t="shared" si="109"/>
        <v>0.02</v>
      </c>
      <c r="AK47" s="188">
        <f t="shared" si="109"/>
        <v>0.02</v>
      </c>
      <c r="AL47" s="188">
        <f t="shared" si="105"/>
        <v>0.02</v>
      </c>
      <c r="AM47" s="188">
        <f t="shared" si="105"/>
        <v>0.02</v>
      </c>
      <c r="AN47" s="37" t="s">
        <v>10</v>
      </c>
    </row>
    <row r="48" spans="1:40" s="37" customFormat="1" x14ac:dyDescent="0.55000000000000004">
      <c r="A48" s="37" t="s">
        <v>223</v>
      </c>
      <c r="B48" s="48" t="s">
        <v>154</v>
      </c>
      <c r="C48" s="172">
        <v>1.45</v>
      </c>
      <c r="D48" s="172">
        <v>1.45</v>
      </c>
      <c r="E48" s="174">
        <f t="shared" si="106"/>
        <v>1.45</v>
      </c>
      <c r="F48" s="174">
        <f t="shared" si="106"/>
        <v>1.45</v>
      </c>
      <c r="G48" s="174">
        <f t="shared" si="106"/>
        <v>1.45</v>
      </c>
      <c r="H48" s="174">
        <f t="shared" si="106"/>
        <v>1.45</v>
      </c>
      <c r="I48" s="174">
        <f t="shared" si="106"/>
        <v>1.45</v>
      </c>
      <c r="J48" s="174">
        <f t="shared" si="106"/>
        <v>1.45</v>
      </c>
      <c r="K48" s="174">
        <f t="shared" si="106"/>
        <v>1.45</v>
      </c>
      <c r="L48" s="174">
        <f t="shared" si="106"/>
        <v>1.45</v>
      </c>
      <c r="M48" s="174">
        <f t="shared" si="106"/>
        <v>1.45</v>
      </c>
      <c r="N48" s="174">
        <f t="shared" si="101"/>
        <v>1.45</v>
      </c>
      <c r="O48" s="174">
        <f>+N48</f>
        <v>1.45</v>
      </c>
      <c r="P48" s="172">
        <v>1.45</v>
      </c>
      <c r="Q48" s="174">
        <f t="shared" si="107"/>
        <v>1.45</v>
      </c>
      <c r="R48" s="174">
        <f t="shared" ref="R48:Y48" si="110">+Q48</f>
        <v>1.45</v>
      </c>
      <c r="S48" s="174">
        <f t="shared" si="110"/>
        <v>1.45</v>
      </c>
      <c r="T48" s="174">
        <f t="shared" si="110"/>
        <v>1.45</v>
      </c>
      <c r="U48" s="174">
        <f t="shared" si="110"/>
        <v>1.45</v>
      </c>
      <c r="V48" s="174">
        <f t="shared" si="110"/>
        <v>1.45</v>
      </c>
      <c r="W48" s="174">
        <f t="shared" si="110"/>
        <v>1.45</v>
      </c>
      <c r="X48" s="174">
        <f t="shared" si="110"/>
        <v>1.45</v>
      </c>
      <c r="Y48" s="174">
        <f t="shared" si="110"/>
        <v>1.45</v>
      </c>
      <c r="Z48" s="174">
        <f t="shared" si="103"/>
        <v>1.45</v>
      </c>
      <c r="AA48" s="174">
        <f t="shared" si="103"/>
        <v>1.45</v>
      </c>
      <c r="AB48" s="172">
        <v>1.45</v>
      </c>
      <c r="AC48" s="174">
        <f t="shared" ref="AC48:AK48" si="111">+AB48</f>
        <v>1.45</v>
      </c>
      <c r="AD48" s="174">
        <f t="shared" si="111"/>
        <v>1.45</v>
      </c>
      <c r="AE48" s="174">
        <f t="shared" si="111"/>
        <v>1.45</v>
      </c>
      <c r="AF48" s="174">
        <f t="shared" si="111"/>
        <v>1.45</v>
      </c>
      <c r="AG48" s="174">
        <f t="shared" si="111"/>
        <v>1.45</v>
      </c>
      <c r="AH48" s="174">
        <f t="shared" si="111"/>
        <v>1.45</v>
      </c>
      <c r="AI48" s="174">
        <f t="shared" si="111"/>
        <v>1.45</v>
      </c>
      <c r="AJ48" s="174">
        <f t="shared" si="111"/>
        <v>1.45</v>
      </c>
      <c r="AK48" s="174">
        <f t="shared" si="111"/>
        <v>1.45</v>
      </c>
      <c r="AL48" s="174">
        <f t="shared" si="105"/>
        <v>1.45</v>
      </c>
      <c r="AM48" s="174">
        <f t="shared" si="105"/>
        <v>1.45</v>
      </c>
      <c r="AN48" s="37" t="s">
        <v>10</v>
      </c>
    </row>
    <row r="49" spans="1:40" s="37" customFormat="1" x14ac:dyDescent="0.55000000000000004">
      <c r="A49" s="37" t="s">
        <v>224</v>
      </c>
      <c r="B49" s="48" t="s">
        <v>43</v>
      </c>
      <c r="C49" s="172">
        <v>8.8400000000000006E-3</v>
      </c>
      <c r="D49" s="172">
        <v>8.8400000000000006E-3</v>
      </c>
      <c r="E49" s="174">
        <f>+D49</f>
        <v>8.8400000000000006E-3</v>
      </c>
      <c r="F49" s="174">
        <f t="shared" si="106"/>
        <v>8.8400000000000006E-3</v>
      </c>
      <c r="G49" s="174">
        <f t="shared" si="106"/>
        <v>8.8400000000000006E-3</v>
      </c>
      <c r="H49" s="174">
        <f t="shared" si="106"/>
        <v>8.8400000000000006E-3</v>
      </c>
      <c r="I49" s="174">
        <f t="shared" si="106"/>
        <v>8.8400000000000006E-3</v>
      </c>
      <c r="J49" s="174">
        <f t="shared" si="106"/>
        <v>8.8400000000000006E-3</v>
      </c>
      <c r="K49" s="174">
        <f t="shared" si="106"/>
        <v>8.8400000000000006E-3</v>
      </c>
      <c r="L49" s="174">
        <f t="shared" si="106"/>
        <v>8.8400000000000006E-3</v>
      </c>
      <c r="M49" s="174">
        <f t="shared" si="106"/>
        <v>8.8400000000000006E-3</v>
      </c>
      <c r="N49" s="174">
        <f t="shared" si="101"/>
        <v>8.8400000000000006E-3</v>
      </c>
      <c r="O49" s="174">
        <f t="shared" si="101"/>
        <v>8.8400000000000006E-3</v>
      </c>
      <c r="P49" s="172">
        <v>8.8400000000000006E-3</v>
      </c>
      <c r="Q49" s="174">
        <f t="shared" si="107"/>
        <v>8.8400000000000006E-3</v>
      </c>
      <c r="R49" s="174">
        <f t="shared" ref="R49:Y49" si="112">+Q49</f>
        <v>8.8400000000000006E-3</v>
      </c>
      <c r="S49" s="174">
        <f t="shared" si="112"/>
        <v>8.8400000000000006E-3</v>
      </c>
      <c r="T49" s="174">
        <f t="shared" si="112"/>
        <v>8.8400000000000006E-3</v>
      </c>
      <c r="U49" s="174">
        <f t="shared" si="112"/>
        <v>8.8400000000000006E-3</v>
      </c>
      <c r="V49" s="174">
        <f t="shared" si="112"/>
        <v>8.8400000000000006E-3</v>
      </c>
      <c r="W49" s="174">
        <f t="shared" si="112"/>
        <v>8.8400000000000006E-3</v>
      </c>
      <c r="X49" s="174">
        <v>0</v>
      </c>
      <c r="Y49" s="174">
        <f t="shared" si="112"/>
        <v>0</v>
      </c>
      <c r="Z49" s="174">
        <f t="shared" si="103"/>
        <v>0</v>
      </c>
      <c r="AA49" s="174">
        <f t="shared" si="103"/>
        <v>0</v>
      </c>
      <c r="AB49" s="172">
        <v>8.8400000000000006E-3</v>
      </c>
      <c r="AC49" s="174">
        <f t="shared" ref="AC49:AK49" si="113">+AB49</f>
        <v>8.8400000000000006E-3</v>
      </c>
      <c r="AD49" s="174">
        <f t="shared" si="113"/>
        <v>8.8400000000000006E-3</v>
      </c>
      <c r="AE49" s="174">
        <f t="shared" si="113"/>
        <v>8.8400000000000006E-3</v>
      </c>
      <c r="AF49" s="174">
        <f t="shared" si="113"/>
        <v>8.8400000000000006E-3</v>
      </c>
      <c r="AG49" s="174">
        <f t="shared" si="113"/>
        <v>8.8400000000000006E-3</v>
      </c>
      <c r="AH49" s="174">
        <f t="shared" si="113"/>
        <v>8.8400000000000006E-3</v>
      </c>
      <c r="AI49" s="174">
        <f t="shared" si="113"/>
        <v>8.8400000000000006E-3</v>
      </c>
      <c r="AJ49" s="174">
        <f t="shared" si="113"/>
        <v>8.8400000000000006E-3</v>
      </c>
      <c r="AK49" s="174">
        <f t="shared" si="113"/>
        <v>8.8400000000000006E-3</v>
      </c>
      <c r="AL49" s="174">
        <f t="shared" si="105"/>
        <v>8.8400000000000006E-3</v>
      </c>
      <c r="AM49" s="174">
        <f t="shared" si="105"/>
        <v>8.8400000000000006E-3</v>
      </c>
      <c r="AN49" s="37" t="s">
        <v>10</v>
      </c>
    </row>
    <row r="50" spans="1:40" s="37" customFormat="1" x14ac:dyDescent="0.55000000000000004">
      <c r="A50" s="37" t="s">
        <v>225</v>
      </c>
      <c r="B50" s="48" t="s">
        <v>154</v>
      </c>
      <c r="C50" s="172">
        <v>0</v>
      </c>
      <c r="D50" s="172">
        <v>0</v>
      </c>
      <c r="E50" s="174">
        <f t="shared" si="106"/>
        <v>0</v>
      </c>
      <c r="F50" s="174">
        <f t="shared" si="106"/>
        <v>0</v>
      </c>
      <c r="G50" s="174">
        <f t="shared" si="106"/>
        <v>0</v>
      </c>
      <c r="H50" s="174">
        <f t="shared" si="106"/>
        <v>0</v>
      </c>
      <c r="I50" s="174">
        <f t="shared" si="106"/>
        <v>0</v>
      </c>
      <c r="J50" s="174">
        <f t="shared" si="106"/>
        <v>0</v>
      </c>
      <c r="K50" s="174">
        <f t="shared" si="106"/>
        <v>0</v>
      </c>
      <c r="L50" s="174">
        <f t="shared" si="106"/>
        <v>0</v>
      </c>
      <c r="M50" s="174">
        <f t="shared" si="106"/>
        <v>0</v>
      </c>
      <c r="N50" s="180">
        <v>-5.65</v>
      </c>
      <c r="O50" s="174">
        <v>0</v>
      </c>
      <c r="P50" s="172">
        <v>0</v>
      </c>
      <c r="Q50" s="174">
        <f t="shared" si="107"/>
        <v>0</v>
      </c>
      <c r="R50" s="174">
        <f t="shared" ref="R50:Y50" si="114">+Q50</f>
        <v>0</v>
      </c>
      <c r="S50" s="174">
        <f t="shared" si="114"/>
        <v>0</v>
      </c>
      <c r="T50" s="174">
        <f t="shared" si="114"/>
        <v>0</v>
      </c>
      <c r="U50" s="174">
        <f t="shared" si="114"/>
        <v>0</v>
      </c>
      <c r="V50" s="174">
        <f t="shared" si="114"/>
        <v>0</v>
      </c>
      <c r="W50" s="174">
        <f t="shared" si="114"/>
        <v>0</v>
      </c>
      <c r="X50" s="174">
        <f t="shared" si="114"/>
        <v>0</v>
      </c>
      <c r="Y50" s="174">
        <f t="shared" si="114"/>
        <v>0</v>
      </c>
      <c r="Z50" s="174">
        <f t="shared" si="103"/>
        <v>0</v>
      </c>
      <c r="AA50" s="174">
        <f t="shared" si="103"/>
        <v>0</v>
      </c>
      <c r="AB50" s="172">
        <v>0</v>
      </c>
      <c r="AC50" s="174">
        <f t="shared" ref="AC50:AK50" si="115">+AB50</f>
        <v>0</v>
      </c>
      <c r="AD50" s="174">
        <f t="shared" si="115"/>
        <v>0</v>
      </c>
      <c r="AE50" s="174">
        <f t="shared" si="115"/>
        <v>0</v>
      </c>
      <c r="AF50" s="174">
        <f t="shared" si="115"/>
        <v>0</v>
      </c>
      <c r="AG50" s="174">
        <f t="shared" si="115"/>
        <v>0</v>
      </c>
      <c r="AH50" s="174">
        <f t="shared" si="115"/>
        <v>0</v>
      </c>
      <c r="AI50" s="174">
        <f t="shared" si="115"/>
        <v>0</v>
      </c>
      <c r="AJ50" s="174">
        <f t="shared" si="115"/>
        <v>0</v>
      </c>
      <c r="AK50" s="174">
        <f t="shared" si="115"/>
        <v>0</v>
      </c>
      <c r="AL50" s="174">
        <f t="shared" si="105"/>
        <v>0</v>
      </c>
      <c r="AM50" s="174">
        <f t="shared" si="105"/>
        <v>0</v>
      </c>
      <c r="AN50" s="37" t="s">
        <v>10</v>
      </c>
    </row>
    <row r="51" spans="1:40" s="37" customFormat="1" x14ac:dyDescent="0.55000000000000004">
      <c r="A51" s="37" t="s">
        <v>251</v>
      </c>
      <c r="B51" s="48" t="s">
        <v>43</v>
      </c>
      <c r="C51" s="172">
        <v>0</v>
      </c>
      <c r="D51" s="172">
        <v>0</v>
      </c>
      <c r="E51" s="174">
        <f t="shared" si="106"/>
        <v>0</v>
      </c>
      <c r="F51" s="174">
        <f t="shared" si="106"/>
        <v>0</v>
      </c>
      <c r="G51" s="174">
        <f t="shared" si="106"/>
        <v>0</v>
      </c>
      <c r="H51" s="174">
        <f t="shared" si="106"/>
        <v>0</v>
      </c>
      <c r="I51" s="174">
        <f t="shared" si="106"/>
        <v>0</v>
      </c>
      <c r="J51" s="174">
        <f t="shared" si="106"/>
        <v>0</v>
      </c>
      <c r="K51" s="174">
        <f t="shared" si="106"/>
        <v>0</v>
      </c>
      <c r="L51" s="174">
        <f t="shared" si="106"/>
        <v>0</v>
      </c>
      <c r="M51" s="174">
        <f t="shared" si="106"/>
        <v>0</v>
      </c>
      <c r="N51" s="174">
        <f t="shared" si="101"/>
        <v>0</v>
      </c>
      <c r="O51" s="174">
        <v>0</v>
      </c>
      <c r="P51" s="172">
        <v>0.44080000000000003</v>
      </c>
      <c r="Q51" s="174">
        <f t="shared" si="107"/>
        <v>0.44080000000000003</v>
      </c>
      <c r="R51" s="174">
        <f t="shared" ref="R51:Y51" si="116">+Q51</f>
        <v>0.44080000000000003</v>
      </c>
      <c r="S51" s="174">
        <f t="shared" si="116"/>
        <v>0.44080000000000003</v>
      </c>
      <c r="T51" s="174">
        <f t="shared" si="116"/>
        <v>0.44080000000000003</v>
      </c>
      <c r="U51" s="174">
        <f t="shared" si="116"/>
        <v>0.44080000000000003</v>
      </c>
      <c r="V51" s="174">
        <f t="shared" si="116"/>
        <v>0.44080000000000003</v>
      </c>
      <c r="W51" s="174">
        <f t="shared" si="116"/>
        <v>0.44080000000000003</v>
      </c>
      <c r="X51" s="174">
        <f t="shared" si="116"/>
        <v>0.44080000000000003</v>
      </c>
      <c r="Y51" s="174">
        <f t="shared" si="116"/>
        <v>0.44080000000000003</v>
      </c>
      <c r="Z51" s="174">
        <f t="shared" si="103"/>
        <v>0.44080000000000003</v>
      </c>
      <c r="AA51" s="174">
        <f t="shared" si="103"/>
        <v>0.44080000000000003</v>
      </c>
      <c r="AB51" s="172">
        <v>0</v>
      </c>
      <c r="AC51" s="174">
        <f t="shared" ref="AC51:AK51" si="117">+AB51</f>
        <v>0</v>
      </c>
      <c r="AD51" s="174">
        <f t="shared" si="117"/>
        <v>0</v>
      </c>
      <c r="AE51" s="174">
        <f t="shared" si="117"/>
        <v>0</v>
      </c>
      <c r="AF51" s="174">
        <f t="shared" si="117"/>
        <v>0</v>
      </c>
      <c r="AG51" s="174">
        <f t="shared" si="117"/>
        <v>0</v>
      </c>
      <c r="AH51" s="174">
        <f t="shared" si="117"/>
        <v>0</v>
      </c>
      <c r="AI51" s="174">
        <f t="shared" si="117"/>
        <v>0</v>
      </c>
      <c r="AJ51" s="174">
        <f t="shared" si="117"/>
        <v>0</v>
      </c>
      <c r="AK51" s="174">
        <f t="shared" si="117"/>
        <v>0</v>
      </c>
      <c r="AL51" s="174">
        <f t="shared" si="105"/>
        <v>0</v>
      </c>
      <c r="AM51" s="174">
        <f t="shared" si="105"/>
        <v>0</v>
      </c>
      <c r="AN51" s="37" t="s">
        <v>10</v>
      </c>
    </row>
    <row r="52" spans="1:40" s="37" customFormat="1" x14ac:dyDescent="0.55000000000000004">
      <c r="A52" s="37">
        <v>0</v>
      </c>
      <c r="B52" s="48" t="s">
        <v>43</v>
      </c>
      <c r="C52" s="172">
        <v>0</v>
      </c>
      <c r="D52" s="172">
        <v>0</v>
      </c>
      <c r="E52" s="174">
        <f t="shared" si="106"/>
        <v>0</v>
      </c>
      <c r="F52" s="174">
        <f t="shared" si="106"/>
        <v>0</v>
      </c>
      <c r="G52" s="174">
        <f t="shared" si="106"/>
        <v>0</v>
      </c>
      <c r="H52" s="174">
        <f t="shared" si="106"/>
        <v>0</v>
      </c>
      <c r="I52" s="174">
        <f t="shared" si="106"/>
        <v>0</v>
      </c>
      <c r="J52" s="174">
        <f t="shared" si="106"/>
        <v>0</v>
      </c>
      <c r="K52" s="174">
        <f t="shared" si="106"/>
        <v>0</v>
      </c>
      <c r="L52" s="174">
        <f t="shared" si="106"/>
        <v>0</v>
      </c>
      <c r="M52" s="174">
        <f t="shared" si="106"/>
        <v>0</v>
      </c>
      <c r="N52" s="174">
        <f t="shared" si="101"/>
        <v>0</v>
      </c>
      <c r="O52" s="174">
        <f t="shared" si="101"/>
        <v>0</v>
      </c>
      <c r="P52" s="172">
        <v>0</v>
      </c>
      <c r="Q52" s="174">
        <f t="shared" si="107"/>
        <v>0</v>
      </c>
      <c r="R52" s="174">
        <f t="shared" ref="R52:Y52" si="118">+Q52</f>
        <v>0</v>
      </c>
      <c r="S52" s="174">
        <f t="shared" si="118"/>
        <v>0</v>
      </c>
      <c r="T52" s="174">
        <f t="shared" si="118"/>
        <v>0</v>
      </c>
      <c r="U52" s="174">
        <f t="shared" si="118"/>
        <v>0</v>
      </c>
      <c r="V52" s="174">
        <f t="shared" si="118"/>
        <v>0</v>
      </c>
      <c r="W52" s="174">
        <f t="shared" si="118"/>
        <v>0</v>
      </c>
      <c r="X52" s="174">
        <f t="shared" si="118"/>
        <v>0</v>
      </c>
      <c r="Y52" s="174">
        <f t="shared" si="118"/>
        <v>0</v>
      </c>
      <c r="Z52" s="174">
        <f t="shared" si="103"/>
        <v>0</v>
      </c>
      <c r="AA52" s="174">
        <f t="shared" si="103"/>
        <v>0</v>
      </c>
      <c r="AB52" s="172">
        <v>0</v>
      </c>
      <c r="AC52" s="174">
        <f t="shared" ref="AC52:AK52" si="119">+AB52</f>
        <v>0</v>
      </c>
      <c r="AD52" s="174">
        <f t="shared" si="119"/>
        <v>0</v>
      </c>
      <c r="AE52" s="174">
        <f t="shared" si="119"/>
        <v>0</v>
      </c>
      <c r="AF52" s="174">
        <f t="shared" si="119"/>
        <v>0</v>
      </c>
      <c r="AG52" s="174">
        <f t="shared" si="119"/>
        <v>0</v>
      </c>
      <c r="AH52" s="174">
        <f t="shared" si="119"/>
        <v>0</v>
      </c>
      <c r="AI52" s="174">
        <f t="shared" si="119"/>
        <v>0</v>
      </c>
      <c r="AJ52" s="174">
        <f t="shared" si="119"/>
        <v>0</v>
      </c>
      <c r="AK52" s="174">
        <f t="shared" si="119"/>
        <v>0</v>
      </c>
      <c r="AL52" s="174">
        <f t="shared" si="105"/>
        <v>0</v>
      </c>
      <c r="AM52" s="174">
        <f t="shared" si="105"/>
        <v>0</v>
      </c>
      <c r="AN52" s="37" t="s">
        <v>10</v>
      </c>
    </row>
    <row r="53" spans="1:40" s="37" customFormat="1" x14ac:dyDescent="0.55000000000000004">
      <c r="A53" s="37">
        <v>0</v>
      </c>
      <c r="B53" s="48" t="s">
        <v>43</v>
      </c>
      <c r="C53" s="172">
        <v>0</v>
      </c>
      <c r="D53" s="172">
        <v>0</v>
      </c>
      <c r="E53" s="174">
        <f t="shared" si="106"/>
        <v>0</v>
      </c>
      <c r="F53" s="174">
        <f t="shared" si="106"/>
        <v>0</v>
      </c>
      <c r="G53" s="174">
        <f t="shared" si="106"/>
        <v>0</v>
      </c>
      <c r="H53" s="174">
        <f t="shared" si="106"/>
        <v>0</v>
      </c>
      <c r="I53" s="174">
        <f t="shared" si="106"/>
        <v>0</v>
      </c>
      <c r="J53" s="174">
        <f t="shared" si="106"/>
        <v>0</v>
      </c>
      <c r="K53" s="174">
        <f t="shared" si="106"/>
        <v>0</v>
      </c>
      <c r="L53" s="174">
        <f t="shared" si="106"/>
        <v>0</v>
      </c>
      <c r="M53" s="174">
        <f t="shared" si="106"/>
        <v>0</v>
      </c>
      <c r="N53" s="174">
        <f t="shared" si="101"/>
        <v>0</v>
      </c>
      <c r="O53" s="174">
        <f t="shared" si="101"/>
        <v>0</v>
      </c>
      <c r="P53" s="172">
        <v>0</v>
      </c>
      <c r="Q53" s="174">
        <f t="shared" si="107"/>
        <v>0</v>
      </c>
      <c r="R53" s="174">
        <f t="shared" ref="R53:Y53" si="120">+Q53</f>
        <v>0</v>
      </c>
      <c r="S53" s="174">
        <f t="shared" si="120"/>
        <v>0</v>
      </c>
      <c r="T53" s="174">
        <f t="shared" si="120"/>
        <v>0</v>
      </c>
      <c r="U53" s="174">
        <f t="shared" si="120"/>
        <v>0</v>
      </c>
      <c r="V53" s="174">
        <f t="shared" si="120"/>
        <v>0</v>
      </c>
      <c r="W53" s="174">
        <f t="shared" si="120"/>
        <v>0</v>
      </c>
      <c r="X53" s="174">
        <f t="shared" si="120"/>
        <v>0</v>
      </c>
      <c r="Y53" s="174">
        <f t="shared" si="120"/>
        <v>0</v>
      </c>
      <c r="Z53" s="174">
        <f t="shared" si="103"/>
        <v>0</v>
      </c>
      <c r="AA53" s="174">
        <f t="shared" si="103"/>
        <v>0</v>
      </c>
      <c r="AB53" s="172">
        <v>0</v>
      </c>
      <c r="AC53" s="174">
        <f t="shared" ref="AC53:AK53" si="121">+AB53</f>
        <v>0</v>
      </c>
      <c r="AD53" s="174">
        <f t="shared" si="121"/>
        <v>0</v>
      </c>
      <c r="AE53" s="174">
        <f t="shared" si="121"/>
        <v>0</v>
      </c>
      <c r="AF53" s="174">
        <f t="shared" si="121"/>
        <v>0</v>
      </c>
      <c r="AG53" s="174">
        <f t="shared" si="121"/>
        <v>0</v>
      </c>
      <c r="AH53" s="174">
        <f t="shared" si="121"/>
        <v>0</v>
      </c>
      <c r="AI53" s="174">
        <f t="shared" si="121"/>
        <v>0</v>
      </c>
      <c r="AJ53" s="174">
        <f t="shared" si="121"/>
        <v>0</v>
      </c>
      <c r="AK53" s="174">
        <f t="shared" si="121"/>
        <v>0</v>
      </c>
      <c r="AL53" s="174">
        <f t="shared" si="105"/>
        <v>0</v>
      </c>
      <c r="AM53" s="174">
        <f t="shared" si="105"/>
        <v>0</v>
      </c>
      <c r="AN53" s="37" t="s">
        <v>10</v>
      </c>
    </row>
    <row r="54" spans="1:40" s="37" customFormat="1" x14ac:dyDescent="0.55000000000000004">
      <c r="A54" s="37">
        <v>0</v>
      </c>
      <c r="B54" s="48" t="s">
        <v>154</v>
      </c>
      <c r="C54" s="172">
        <v>0</v>
      </c>
      <c r="D54" s="172">
        <v>0</v>
      </c>
      <c r="E54" s="174">
        <f t="shared" si="106"/>
        <v>0</v>
      </c>
      <c r="F54" s="174">
        <f t="shared" si="106"/>
        <v>0</v>
      </c>
      <c r="G54" s="174">
        <f t="shared" si="106"/>
        <v>0</v>
      </c>
      <c r="H54" s="174">
        <f t="shared" si="106"/>
        <v>0</v>
      </c>
      <c r="I54" s="174">
        <f t="shared" si="106"/>
        <v>0</v>
      </c>
      <c r="J54" s="174">
        <f t="shared" si="106"/>
        <v>0</v>
      </c>
      <c r="K54" s="174">
        <f t="shared" si="106"/>
        <v>0</v>
      </c>
      <c r="L54" s="174">
        <f t="shared" si="106"/>
        <v>0</v>
      </c>
      <c r="M54" s="174">
        <f t="shared" si="106"/>
        <v>0</v>
      </c>
      <c r="N54" s="174">
        <f t="shared" si="101"/>
        <v>0</v>
      </c>
      <c r="O54" s="174">
        <f t="shared" si="101"/>
        <v>0</v>
      </c>
      <c r="P54" s="172">
        <v>0</v>
      </c>
      <c r="Q54" s="174">
        <f t="shared" si="107"/>
        <v>0</v>
      </c>
      <c r="R54" s="174">
        <f t="shared" ref="R54:Y54" si="122">+Q54</f>
        <v>0</v>
      </c>
      <c r="S54" s="174">
        <f t="shared" si="122"/>
        <v>0</v>
      </c>
      <c r="T54" s="174">
        <f t="shared" si="122"/>
        <v>0</v>
      </c>
      <c r="U54" s="174">
        <f t="shared" si="122"/>
        <v>0</v>
      </c>
      <c r="V54" s="174">
        <f t="shared" si="122"/>
        <v>0</v>
      </c>
      <c r="W54" s="174">
        <f t="shared" si="122"/>
        <v>0</v>
      </c>
      <c r="X54" s="174">
        <f t="shared" si="122"/>
        <v>0</v>
      </c>
      <c r="Y54" s="174">
        <f t="shared" si="122"/>
        <v>0</v>
      </c>
      <c r="Z54" s="174">
        <f t="shared" si="103"/>
        <v>0</v>
      </c>
      <c r="AA54" s="174">
        <f t="shared" si="103"/>
        <v>0</v>
      </c>
      <c r="AB54" s="172">
        <v>0</v>
      </c>
      <c r="AC54" s="174">
        <f t="shared" ref="AC54:AK54" si="123">+AB54</f>
        <v>0</v>
      </c>
      <c r="AD54" s="174">
        <f t="shared" si="123"/>
        <v>0</v>
      </c>
      <c r="AE54" s="174">
        <f t="shared" si="123"/>
        <v>0</v>
      </c>
      <c r="AF54" s="174">
        <f t="shared" si="123"/>
        <v>0</v>
      </c>
      <c r="AG54" s="174">
        <f t="shared" si="123"/>
        <v>0</v>
      </c>
      <c r="AH54" s="174">
        <f t="shared" si="123"/>
        <v>0</v>
      </c>
      <c r="AI54" s="174">
        <f t="shared" si="123"/>
        <v>0</v>
      </c>
      <c r="AJ54" s="174">
        <f t="shared" si="123"/>
        <v>0</v>
      </c>
      <c r="AK54" s="174">
        <f t="shared" si="123"/>
        <v>0</v>
      </c>
      <c r="AL54" s="174">
        <f t="shared" si="105"/>
        <v>0</v>
      </c>
      <c r="AM54" s="174">
        <f t="shared" si="105"/>
        <v>0</v>
      </c>
      <c r="AN54" s="37" t="s">
        <v>10</v>
      </c>
    </row>
    <row r="55" spans="1:40" s="37" customFormat="1" x14ac:dyDescent="0.55000000000000004">
      <c r="A55" s="37">
        <v>0</v>
      </c>
      <c r="B55" s="48" t="s">
        <v>43</v>
      </c>
      <c r="C55" s="172">
        <v>0</v>
      </c>
      <c r="D55" s="172">
        <v>0</v>
      </c>
      <c r="E55" s="174">
        <f t="shared" si="106"/>
        <v>0</v>
      </c>
      <c r="F55" s="174">
        <f t="shared" si="106"/>
        <v>0</v>
      </c>
      <c r="G55" s="174">
        <f t="shared" si="106"/>
        <v>0</v>
      </c>
      <c r="H55" s="174">
        <f t="shared" si="106"/>
        <v>0</v>
      </c>
      <c r="I55" s="174">
        <f t="shared" si="106"/>
        <v>0</v>
      </c>
      <c r="J55" s="174">
        <f t="shared" si="106"/>
        <v>0</v>
      </c>
      <c r="K55" s="174">
        <f t="shared" si="106"/>
        <v>0</v>
      </c>
      <c r="L55" s="174">
        <f t="shared" si="106"/>
        <v>0</v>
      </c>
      <c r="M55" s="174">
        <f t="shared" si="106"/>
        <v>0</v>
      </c>
      <c r="N55" s="174">
        <f t="shared" si="101"/>
        <v>0</v>
      </c>
      <c r="O55" s="174">
        <f t="shared" si="101"/>
        <v>0</v>
      </c>
      <c r="P55" s="172">
        <v>0</v>
      </c>
      <c r="Q55" s="174">
        <f t="shared" si="107"/>
        <v>0</v>
      </c>
      <c r="R55" s="174">
        <f t="shared" ref="R55:Y55" si="124">+Q55</f>
        <v>0</v>
      </c>
      <c r="S55" s="174">
        <f t="shared" si="124"/>
        <v>0</v>
      </c>
      <c r="T55" s="174">
        <f t="shared" si="124"/>
        <v>0</v>
      </c>
      <c r="U55" s="174">
        <f t="shared" si="124"/>
        <v>0</v>
      </c>
      <c r="V55" s="174">
        <f t="shared" si="124"/>
        <v>0</v>
      </c>
      <c r="W55" s="174">
        <f t="shared" si="124"/>
        <v>0</v>
      </c>
      <c r="X55" s="174">
        <f t="shared" si="124"/>
        <v>0</v>
      </c>
      <c r="Y55" s="174">
        <f t="shared" si="124"/>
        <v>0</v>
      </c>
      <c r="Z55" s="174">
        <f t="shared" si="103"/>
        <v>0</v>
      </c>
      <c r="AA55" s="174">
        <f t="shared" si="103"/>
        <v>0</v>
      </c>
      <c r="AB55" s="172">
        <v>0</v>
      </c>
      <c r="AC55" s="174">
        <f t="shared" ref="AC55:AK55" si="125">+AB55</f>
        <v>0</v>
      </c>
      <c r="AD55" s="174">
        <f t="shared" si="125"/>
        <v>0</v>
      </c>
      <c r="AE55" s="174">
        <f t="shared" si="125"/>
        <v>0</v>
      </c>
      <c r="AF55" s="174">
        <f t="shared" si="125"/>
        <v>0</v>
      </c>
      <c r="AG55" s="174">
        <f t="shared" si="125"/>
        <v>0</v>
      </c>
      <c r="AH55" s="174">
        <f t="shared" si="125"/>
        <v>0</v>
      </c>
      <c r="AI55" s="174">
        <f t="shared" si="125"/>
        <v>0</v>
      </c>
      <c r="AJ55" s="174">
        <f t="shared" si="125"/>
        <v>0</v>
      </c>
      <c r="AK55" s="174">
        <f t="shared" si="125"/>
        <v>0</v>
      </c>
      <c r="AL55" s="174">
        <f t="shared" si="105"/>
        <v>0</v>
      </c>
      <c r="AM55" s="174">
        <f t="shared" si="105"/>
        <v>0</v>
      </c>
      <c r="AN55" s="37" t="s">
        <v>10</v>
      </c>
    </row>
    <row r="56" spans="1:40" s="37" customFormat="1" x14ac:dyDescent="0.55000000000000004">
      <c r="A56" s="37">
        <v>0</v>
      </c>
      <c r="B56" s="48" t="s">
        <v>154</v>
      </c>
      <c r="C56" s="172">
        <v>0</v>
      </c>
      <c r="D56" s="172">
        <v>0</v>
      </c>
      <c r="E56" s="174">
        <f t="shared" si="106"/>
        <v>0</v>
      </c>
      <c r="F56" s="174">
        <f t="shared" si="106"/>
        <v>0</v>
      </c>
      <c r="G56" s="174">
        <f t="shared" si="106"/>
        <v>0</v>
      </c>
      <c r="H56" s="174">
        <f t="shared" si="106"/>
        <v>0</v>
      </c>
      <c r="I56" s="174">
        <f t="shared" si="106"/>
        <v>0</v>
      </c>
      <c r="J56" s="174">
        <f t="shared" si="106"/>
        <v>0</v>
      </c>
      <c r="K56" s="174">
        <f t="shared" si="106"/>
        <v>0</v>
      </c>
      <c r="L56" s="174">
        <f t="shared" si="106"/>
        <v>0</v>
      </c>
      <c r="M56" s="174">
        <f t="shared" si="106"/>
        <v>0</v>
      </c>
      <c r="N56" s="174">
        <f t="shared" si="101"/>
        <v>0</v>
      </c>
      <c r="O56" s="174">
        <f t="shared" si="101"/>
        <v>0</v>
      </c>
      <c r="P56" s="172">
        <v>0</v>
      </c>
      <c r="Q56" s="174">
        <f t="shared" si="107"/>
        <v>0</v>
      </c>
      <c r="R56" s="174">
        <f t="shared" ref="R56:Y56" si="126">+Q56</f>
        <v>0</v>
      </c>
      <c r="S56" s="174">
        <f t="shared" si="126"/>
        <v>0</v>
      </c>
      <c r="T56" s="174">
        <f t="shared" si="126"/>
        <v>0</v>
      </c>
      <c r="U56" s="174">
        <f t="shared" si="126"/>
        <v>0</v>
      </c>
      <c r="V56" s="174">
        <f t="shared" si="126"/>
        <v>0</v>
      </c>
      <c r="W56" s="174">
        <f t="shared" si="126"/>
        <v>0</v>
      </c>
      <c r="X56" s="174">
        <f t="shared" si="126"/>
        <v>0</v>
      </c>
      <c r="Y56" s="174">
        <f t="shared" si="126"/>
        <v>0</v>
      </c>
      <c r="Z56" s="174">
        <f t="shared" si="103"/>
        <v>0</v>
      </c>
      <c r="AA56" s="174">
        <f t="shared" si="103"/>
        <v>0</v>
      </c>
      <c r="AB56" s="172">
        <v>0</v>
      </c>
      <c r="AC56" s="174">
        <f t="shared" ref="AC56:AK56" si="127">+AB56</f>
        <v>0</v>
      </c>
      <c r="AD56" s="174">
        <f t="shared" si="127"/>
        <v>0</v>
      </c>
      <c r="AE56" s="174">
        <f t="shared" si="127"/>
        <v>0</v>
      </c>
      <c r="AF56" s="174">
        <f t="shared" si="127"/>
        <v>0</v>
      </c>
      <c r="AG56" s="174">
        <f t="shared" si="127"/>
        <v>0</v>
      </c>
      <c r="AH56" s="174">
        <f t="shared" si="127"/>
        <v>0</v>
      </c>
      <c r="AI56" s="174">
        <f t="shared" si="127"/>
        <v>0</v>
      </c>
      <c r="AJ56" s="174">
        <f t="shared" si="127"/>
        <v>0</v>
      </c>
      <c r="AK56" s="174">
        <f t="shared" si="127"/>
        <v>0</v>
      </c>
      <c r="AL56" s="174">
        <f t="shared" si="105"/>
        <v>0</v>
      </c>
      <c r="AM56" s="174">
        <f t="shared" si="105"/>
        <v>0</v>
      </c>
      <c r="AN56" s="37" t="s">
        <v>10</v>
      </c>
    </row>
    <row r="57" spans="1:40" s="37" customFormat="1" x14ac:dyDescent="0.55000000000000004">
      <c r="A57" s="37">
        <v>0</v>
      </c>
      <c r="B57" s="48" t="s">
        <v>154</v>
      </c>
      <c r="C57" s="172">
        <v>0</v>
      </c>
      <c r="D57" s="172">
        <v>0</v>
      </c>
      <c r="E57" s="174">
        <f t="shared" si="106"/>
        <v>0</v>
      </c>
      <c r="F57" s="174">
        <f t="shared" si="106"/>
        <v>0</v>
      </c>
      <c r="G57" s="174">
        <f t="shared" si="106"/>
        <v>0</v>
      </c>
      <c r="H57" s="174">
        <f t="shared" si="106"/>
        <v>0</v>
      </c>
      <c r="I57" s="174">
        <f t="shared" si="106"/>
        <v>0</v>
      </c>
      <c r="J57" s="174">
        <f t="shared" si="106"/>
        <v>0</v>
      </c>
      <c r="K57" s="174">
        <f t="shared" si="106"/>
        <v>0</v>
      </c>
      <c r="L57" s="174">
        <f t="shared" si="106"/>
        <v>0</v>
      </c>
      <c r="M57" s="174">
        <f t="shared" si="106"/>
        <v>0</v>
      </c>
      <c r="N57" s="174">
        <f t="shared" si="101"/>
        <v>0</v>
      </c>
      <c r="O57" s="174">
        <f t="shared" si="101"/>
        <v>0</v>
      </c>
      <c r="P57" s="172">
        <v>0</v>
      </c>
      <c r="Q57" s="174">
        <f t="shared" si="107"/>
        <v>0</v>
      </c>
      <c r="R57" s="174">
        <f t="shared" ref="R57:Y57" si="128">+Q57</f>
        <v>0</v>
      </c>
      <c r="S57" s="174">
        <f t="shared" si="128"/>
        <v>0</v>
      </c>
      <c r="T57" s="174">
        <f t="shared" si="128"/>
        <v>0</v>
      </c>
      <c r="U57" s="174">
        <f t="shared" si="128"/>
        <v>0</v>
      </c>
      <c r="V57" s="174">
        <f t="shared" si="128"/>
        <v>0</v>
      </c>
      <c r="W57" s="174">
        <f t="shared" si="128"/>
        <v>0</v>
      </c>
      <c r="X57" s="174">
        <f t="shared" si="128"/>
        <v>0</v>
      </c>
      <c r="Y57" s="174">
        <f t="shared" si="128"/>
        <v>0</v>
      </c>
      <c r="Z57" s="174">
        <f t="shared" si="103"/>
        <v>0</v>
      </c>
      <c r="AA57" s="174">
        <f t="shared" si="103"/>
        <v>0</v>
      </c>
      <c r="AB57" s="172">
        <v>0</v>
      </c>
      <c r="AC57" s="174">
        <f t="shared" ref="AC57:AK57" si="129">+AB57</f>
        <v>0</v>
      </c>
      <c r="AD57" s="174">
        <f t="shared" si="129"/>
        <v>0</v>
      </c>
      <c r="AE57" s="174">
        <f t="shared" si="129"/>
        <v>0</v>
      </c>
      <c r="AF57" s="174">
        <f t="shared" si="129"/>
        <v>0</v>
      </c>
      <c r="AG57" s="174">
        <f t="shared" si="129"/>
        <v>0</v>
      </c>
      <c r="AH57" s="174">
        <f t="shared" si="129"/>
        <v>0</v>
      </c>
      <c r="AI57" s="174">
        <f t="shared" si="129"/>
        <v>0</v>
      </c>
      <c r="AJ57" s="174">
        <f t="shared" si="129"/>
        <v>0</v>
      </c>
      <c r="AK57" s="174">
        <f t="shared" si="129"/>
        <v>0</v>
      </c>
      <c r="AL57" s="174">
        <f t="shared" si="105"/>
        <v>0</v>
      </c>
      <c r="AM57" s="174">
        <f t="shared" si="105"/>
        <v>0</v>
      </c>
      <c r="AN57" s="37" t="s">
        <v>10</v>
      </c>
    </row>
    <row r="58" spans="1:40" s="37" customFormat="1" x14ac:dyDescent="0.55000000000000004">
      <c r="A58" s="37">
        <v>0</v>
      </c>
      <c r="B58" s="48"/>
      <c r="C58" s="172">
        <v>0</v>
      </c>
      <c r="D58" s="172">
        <v>0</v>
      </c>
      <c r="E58" s="174">
        <f t="shared" si="106"/>
        <v>0</v>
      </c>
      <c r="F58" s="174">
        <f t="shared" si="106"/>
        <v>0</v>
      </c>
      <c r="G58" s="174">
        <f t="shared" si="106"/>
        <v>0</v>
      </c>
      <c r="H58" s="174">
        <f t="shared" si="106"/>
        <v>0</v>
      </c>
      <c r="I58" s="174">
        <f t="shared" si="106"/>
        <v>0</v>
      </c>
      <c r="J58" s="174">
        <f t="shared" si="106"/>
        <v>0</v>
      </c>
      <c r="K58" s="174">
        <f t="shared" si="106"/>
        <v>0</v>
      </c>
      <c r="L58" s="174">
        <f t="shared" si="106"/>
        <v>0</v>
      </c>
      <c r="M58" s="174">
        <f t="shared" si="106"/>
        <v>0</v>
      </c>
      <c r="N58" s="174">
        <f t="shared" si="101"/>
        <v>0</v>
      </c>
      <c r="O58" s="174">
        <f t="shared" si="101"/>
        <v>0</v>
      </c>
      <c r="P58" s="172"/>
      <c r="Q58" s="174">
        <f t="shared" ref="Q58:Y58" si="130">+P58</f>
        <v>0</v>
      </c>
      <c r="R58" s="174">
        <f t="shared" si="130"/>
        <v>0</v>
      </c>
      <c r="S58" s="174">
        <f t="shared" si="130"/>
        <v>0</v>
      </c>
      <c r="T58" s="174">
        <f t="shared" si="130"/>
        <v>0</v>
      </c>
      <c r="U58" s="174">
        <f t="shared" si="130"/>
        <v>0</v>
      </c>
      <c r="V58" s="174">
        <f t="shared" si="130"/>
        <v>0</v>
      </c>
      <c r="W58" s="174">
        <f t="shared" si="130"/>
        <v>0</v>
      </c>
      <c r="X58" s="174">
        <f t="shared" si="130"/>
        <v>0</v>
      </c>
      <c r="Y58" s="174">
        <f t="shared" si="130"/>
        <v>0</v>
      </c>
      <c r="Z58" s="174">
        <f t="shared" si="103"/>
        <v>0</v>
      </c>
      <c r="AA58" s="174">
        <f t="shared" si="103"/>
        <v>0</v>
      </c>
      <c r="AB58" s="172"/>
      <c r="AC58" s="174">
        <f t="shared" ref="AC58:AK58" si="131">+AB58</f>
        <v>0</v>
      </c>
      <c r="AD58" s="174">
        <f t="shared" si="131"/>
        <v>0</v>
      </c>
      <c r="AE58" s="174">
        <f t="shared" si="131"/>
        <v>0</v>
      </c>
      <c r="AF58" s="174">
        <f t="shared" si="131"/>
        <v>0</v>
      </c>
      <c r="AG58" s="174">
        <f t="shared" si="131"/>
        <v>0</v>
      </c>
      <c r="AH58" s="174">
        <f t="shared" si="131"/>
        <v>0</v>
      </c>
      <c r="AI58" s="174">
        <f t="shared" si="131"/>
        <v>0</v>
      </c>
      <c r="AJ58" s="174">
        <f t="shared" si="131"/>
        <v>0</v>
      </c>
      <c r="AK58" s="174">
        <f t="shared" si="131"/>
        <v>0</v>
      </c>
      <c r="AL58" s="174">
        <f t="shared" si="105"/>
        <v>0</v>
      </c>
      <c r="AM58" s="174">
        <f t="shared" si="105"/>
        <v>0</v>
      </c>
      <c r="AN58" s="37" t="s">
        <v>10</v>
      </c>
    </row>
    <row r="59" spans="1:40" s="37" customFormat="1" x14ac:dyDescent="0.55000000000000004">
      <c r="C59" s="39"/>
      <c r="O59" s="45"/>
      <c r="AN59" s="37" t="s">
        <v>10</v>
      </c>
    </row>
    <row r="60" spans="1:40" x14ac:dyDescent="0.55000000000000004">
      <c r="A60" s="1" t="s">
        <v>88</v>
      </c>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37"/>
    </row>
    <row r="61" spans="1:40" x14ac:dyDescent="0.55000000000000004">
      <c r="A61" s="1" t="s">
        <v>34</v>
      </c>
      <c r="B61" s="1" t="s">
        <v>109</v>
      </c>
      <c r="C61" s="5" t="str">
        <f t="shared" ref="C61:AM61" si="132">+C45</f>
        <v>January 2022</v>
      </c>
      <c r="D61" s="5" t="str">
        <f t="shared" si="132"/>
        <v>January 2022</v>
      </c>
      <c r="E61" s="5" t="str">
        <f t="shared" si="132"/>
        <v>February 2022</v>
      </c>
      <c r="F61" s="5" t="str">
        <f t="shared" si="132"/>
        <v>March 2022</v>
      </c>
      <c r="G61" s="5" t="str">
        <f t="shared" si="132"/>
        <v>April 2022</v>
      </c>
      <c r="H61" s="5" t="str">
        <f t="shared" si="132"/>
        <v>May 2022</v>
      </c>
      <c r="I61" s="5" t="str">
        <f t="shared" si="132"/>
        <v>June 2022</v>
      </c>
      <c r="J61" s="5" t="str">
        <f t="shared" si="132"/>
        <v>July 2022</v>
      </c>
      <c r="K61" s="5" t="str">
        <f t="shared" si="132"/>
        <v>August 2022</v>
      </c>
      <c r="L61" s="5" t="str">
        <f t="shared" si="132"/>
        <v>September 2022</v>
      </c>
      <c r="M61" s="5" t="str">
        <f t="shared" si="132"/>
        <v>October 2022</v>
      </c>
      <c r="N61" s="5" t="str">
        <f t="shared" si="132"/>
        <v>November 2022</v>
      </c>
      <c r="O61" s="5" t="str">
        <f t="shared" si="132"/>
        <v>December 2022</v>
      </c>
      <c r="P61" s="5" t="str">
        <f t="shared" si="132"/>
        <v>January 2023</v>
      </c>
      <c r="Q61" s="5" t="str">
        <f t="shared" si="132"/>
        <v>February 2023</v>
      </c>
      <c r="R61" s="5" t="str">
        <f t="shared" si="132"/>
        <v>March 2023</v>
      </c>
      <c r="S61" s="5" t="str">
        <f t="shared" si="132"/>
        <v>April 2023</v>
      </c>
      <c r="T61" s="5" t="str">
        <f t="shared" si="132"/>
        <v>May 2023</v>
      </c>
      <c r="U61" s="5" t="str">
        <f t="shared" si="132"/>
        <v>June 2023</v>
      </c>
      <c r="V61" s="5" t="str">
        <f t="shared" si="132"/>
        <v>July 2023</v>
      </c>
      <c r="W61" s="5" t="str">
        <f t="shared" si="132"/>
        <v>August 2023</v>
      </c>
      <c r="X61" s="5" t="str">
        <f t="shared" si="132"/>
        <v>September 2023</v>
      </c>
      <c r="Y61" s="5" t="str">
        <f t="shared" si="132"/>
        <v>October 2023</v>
      </c>
      <c r="Z61" s="5" t="str">
        <f t="shared" si="132"/>
        <v>November 2023</v>
      </c>
      <c r="AA61" s="5" t="str">
        <f t="shared" si="132"/>
        <v>December 2023</v>
      </c>
      <c r="AB61" s="5" t="str">
        <f t="shared" si="132"/>
        <v>January 2024</v>
      </c>
      <c r="AC61" s="5" t="str">
        <f t="shared" si="132"/>
        <v>February 2024</v>
      </c>
      <c r="AD61" s="5" t="str">
        <f t="shared" si="132"/>
        <v>March 2024</v>
      </c>
      <c r="AE61" s="5" t="str">
        <f t="shared" si="132"/>
        <v>April 2024</v>
      </c>
      <c r="AF61" s="5" t="str">
        <f t="shared" si="132"/>
        <v>May 2024</v>
      </c>
      <c r="AG61" s="5" t="str">
        <f t="shared" si="132"/>
        <v>June 2024</v>
      </c>
      <c r="AH61" s="5" t="str">
        <f t="shared" si="132"/>
        <v>July 2024</v>
      </c>
      <c r="AI61" s="5" t="str">
        <f t="shared" si="132"/>
        <v>August 2024</v>
      </c>
      <c r="AJ61" s="5" t="str">
        <f t="shared" si="132"/>
        <v>September 2024</v>
      </c>
      <c r="AK61" s="5" t="str">
        <f t="shared" si="132"/>
        <v>October 2024</v>
      </c>
      <c r="AL61" s="5" t="str">
        <f t="shared" si="132"/>
        <v>November 2024</v>
      </c>
      <c r="AM61" s="5" t="str">
        <f t="shared" si="132"/>
        <v>December 2024</v>
      </c>
      <c r="AN61" s="37" t="s">
        <v>10</v>
      </c>
    </row>
    <row r="62" spans="1:40" s="37" customFormat="1" x14ac:dyDescent="0.55000000000000004">
      <c r="A62" s="37" t="s">
        <v>221</v>
      </c>
      <c r="B62" s="48" t="s">
        <v>154</v>
      </c>
      <c r="C62" s="172">
        <v>0.04</v>
      </c>
      <c r="D62" s="172">
        <v>0.04</v>
      </c>
      <c r="E62" s="174">
        <f>+D62</f>
        <v>0.04</v>
      </c>
      <c r="F62" s="174">
        <f t="shared" ref="F62:M62" si="133">+E62</f>
        <v>0.04</v>
      </c>
      <c r="G62" s="174">
        <f t="shared" si="133"/>
        <v>0.04</v>
      </c>
      <c r="H62" s="174">
        <f t="shared" si="133"/>
        <v>0.04</v>
      </c>
      <c r="I62" s="174">
        <f t="shared" si="133"/>
        <v>0.04</v>
      </c>
      <c r="J62" s="174">
        <f t="shared" si="133"/>
        <v>0.04</v>
      </c>
      <c r="K62" s="174">
        <f t="shared" si="133"/>
        <v>0.04</v>
      </c>
      <c r="L62" s="174">
        <f t="shared" si="133"/>
        <v>0.04</v>
      </c>
      <c r="M62" s="174">
        <f t="shared" si="133"/>
        <v>0.04</v>
      </c>
      <c r="N62" s="174">
        <f t="shared" ref="N62:O74" si="134">+M62</f>
        <v>0.04</v>
      </c>
      <c r="O62" s="174">
        <f t="shared" si="134"/>
        <v>0.04</v>
      </c>
      <c r="P62" s="172">
        <v>0.04</v>
      </c>
      <c r="Q62" s="174">
        <f>P62</f>
        <v>0.04</v>
      </c>
      <c r="R62" s="174">
        <f t="shared" ref="R62:Y62" si="135">+Q62</f>
        <v>0.04</v>
      </c>
      <c r="S62" s="174">
        <f t="shared" si="135"/>
        <v>0.04</v>
      </c>
      <c r="T62" s="174">
        <f t="shared" si="135"/>
        <v>0.04</v>
      </c>
      <c r="U62" s="174">
        <f t="shared" si="135"/>
        <v>0.04</v>
      </c>
      <c r="V62" s="174">
        <f t="shared" si="135"/>
        <v>0.04</v>
      </c>
      <c r="W62" s="174">
        <f t="shared" si="135"/>
        <v>0.04</v>
      </c>
      <c r="X62" s="174">
        <f t="shared" si="135"/>
        <v>0.04</v>
      </c>
      <c r="Y62" s="174">
        <f t="shared" si="135"/>
        <v>0.04</v>
      </c>
      <c r="Z62" s="174">
        <f t="shared" ref="Z62:AA74" si="136">+Y62</f>
        <v>0.04</v>
      </c>
      <c r="AA62" s="174">
        <f t="shared" si="136"/>
        <v>0.04</v>
      </c>
      <c r="AB62" s="172">
        <v>0.04</v>
      </c>
      <c r="AC62" s="174">
        <f>+AB62</f>
        <v>0.04</v>
      </c>
      <c r="AD62" s="174">
        <f t="shared" ref="AD62:AK62" si="137">+AC62</f>
        <v>0.04</v>
      </c>
      <c r="AE62" s="174">
        <f t="shared" si="137"/>
        <v>0.04</v>
      </c>
      <c r="AF62" s="174">
        <f t="shared" si="137"/>
        <v>0.04</v>
      </c>
      <c r="AG62" s="174">
        <f t="shared" si="137"/>
        <v>0.04</v>
      </c>
      <c r="AH62" s="174">
        <f t="shared" si="137"/>
        <v>0.04</v>
      </c>
      <c r="AI62" s="174">
        <f t="shared" si="137"/>
        <v>0.04</v>
      </c>
      <c r="AJ62" s="174">
        <f t="shared" si="137"/>
        <v>0.04</v>
      </c>
      <c r="AK62" s="174">
        <f t="shared" si="137"/>
        <v>0.04</v>
      </c>
      <c r="AL62" s="174">
        <f t="shared" ref="AL62:AM74" si="138">+AK62</f>
        <v>0.04</v>
      </c>
      <c r="AM62" s="174">
        <f t="shared" si="138"/>
        <v>0.04</v>
      </c>
      <c r="AN62" s="37" t="s">
        <v>10</v>
      </c>
    </row>
    <row r="63" spans="1:40" s="37" customFormat="1" x14ac:dyDescent="0.55000000000000004">
      <c r="A63" s="37" t="s">
        <v>222</v>
      </c>
      <c r="B63" s="48" t="s">
        <v>154</v>
      </c>
      <c r="C63" s="172">
        <v>0.02</v>
      </c>
      <c r="D63" s="172">
        <v>0.02</v>
      </c>
      <c r="E63" s="174">
        <f t="shared" ref="E63:M63" si="139">+D63</f>
        <v>0.02</v>
      </c>
      <c r="F63" s="174">
        <f t="shared" si="139"/>
        <v>0.02</v>
      </c>
      <c r="G63" s="174">
        <f t="shared" si="139"/>
        <v>0.02</v>
      </c>
      <c r="H63" s="174">
        <f t="shared" si="139"/>
        <v>0.02</v>
      </c>
      <c r="I63" s="174">
        <f t="shared" si="139"/>
        <v>0.02</v>
      </c>
      <c r="J63" s="174">
        <f t="shared" si="139"/>
        <v>0.02</v>
      </c>
      <c r="K63" s="174">
        <f t="shared" si="139"/>
        <v>0.02</v>
      </c>
      <c r="L63" s="174">
        <f t="shared" si="139"/>
        <v>0.02</v>
      </c>
      <c r="M63" s="174">
        <f t="shared" si="139"/>
        <v>0.02</v>
      </c>
      <c r="N63" s="174">
        <f t="shared" si="134"/>
        <v>0.02</v>
      </c>
      <c r="O63" s="174">
        <f t="shared" si="134"/>
        <v>0.02</v>
      </c>
      <c r="P63" s="172">
        <v>0.02</v>
      </c>
      <c r="Q63" s="174">
        <f t="shared" ref="Q63:Q73" si="140">P63</f>
        <v>0.02</v>
      </c>
      <c r="R63" s="174">
        <f t="shared" ref="R63:Y63" si="141">+Q63</f>
        <v>0.02</v>
      </c>
      <c r="S63" s="174">
        <f t="shared" si="141"/>
        <v>0.02</v>
      </c>
      <c r="T63" s="174">
        <f t="shared" si="141"/>
        <v>0.02</v>
      </c>
      <c r="U63" s="174">
        <f t="shared" si="141"/>
        <v>0.02</v>
      </c>
      <c r="V63" s="174">
        <f t="shared" si="141"/>
        <v>0.02</v>
      </c>
      <c r="W63" s="174">
        <f t="shared" si="141"/>
        <v>0.02</v>
      </c>
      <c r="X63" s="174">
        <f t="shared" si="141"/>
        <v>0.02</v>
      </c>
      <c r="Y63" s="174">
        <f t="shared" si="141"/>
        <v>0.02</v>
      </c>
      <c r="Z63" s="174">
        <f t="shared" si="136"/>
        <v>0.02</v>
      </c>
      <c r="AA63" s="174">
        <f t="shared" si="136"/>
        <v>0.02</v>
      </c>
      <c r="AB63" s="172">
        <v>0.02</v>
      </c>
      <c r="AC63" s="174">
        <f t="shared" ref="AC63:AK63" si="142">+AB63</f>
        <v>0.02</v>
      </c>
      <c r="AD63" s="174">
        <f t="shared" si="142"/>
        <v>0.02</v>
      </c>
      <c r="AE63" s="174">
        <f t="shared" si="142"/>
        <v>0.02</v>
      </c>
      <c r="AF63" s="174">
        <f t="shared" si="142"/>
        <v>0.02</v>
      </c>
      <c r="AG63" s="174">
        <f t="shared" si="142"/>
        <v>0.02</v>
      </c>
      <c r="AH63" s="174">
        <f t="shared" si="142"/>
        <v>0.02</v>
      </c>
      <c r="AI63" s="174">
        <f t="shared" si="142"/>
        <v>0.02</v>
      </c>
      <c r="AJ63" s="174">
        <f t="shared" si="142"/>
        <v>0.02</v>
      </c>
      <c r="AK63" s="174">
        <f t="shared" si="142"/>
        <v>0.02</v>
      </c>
      <c r="AL63" s="174">
        <f t="shared" si="138"/>
        <v>0.02</v>
      </c>
      <c r="AM63" s="174">
        <f t="shared" si="138"/>
        <v>0.02</v>
      </c>
      <c r="AN63" s="37" t="s">
        <v>10</v>
      </c>
    </row>
    <row r="64" spans="1:40" s="37" customFormat="1" x14ac:dyDescent="0.55000000000000004">
      <c r="A64" s="37" t="s">
        <v>223</v>
      </c>
      <c r="B64" s="48" t="s">
        <v>38</v>
      </c>
      <c r="C64" s="172">
        <v>-0.15</v>
      </c>
      <c r="D64" s="172">
        <v>-0.15</v>
      </c>
      <c r="E64" s="174">
        <f t="shared" ref="E64:M64" si="143">+D64</f>
        <v>-0.15</v>
      </c>
      <c r="F64" s="174">
        <f t="shared" si="143"/>
        <v>-0.15</v>
      </c>
      <c r="G64" s="174">
        <f t="shared" si="143"/>
        <v>-0.15</v>
      </c>
      <c r="H64" s="174">
        <f t="shared" si="143"/>
        <v>-0.15</v>
      </c>
      <c r="I64" s="174">
        <f t="shared" si="143"/>
        <v>-0.15</v>
      </c>
      <c r="J64" s="174">
        <f t="shared" si="143"/>
        <v>-0.15</v>
      </c>
      <c r="K64" s="174">
        <f t="shared" si="143"/>
        <v>-0.15</v>
      </c>
      <c r="L64" s="174">
        <f t="shared" si="143"/>
        <v>-0.15</v>
      </c>
      <c r="M64" s="174">
        <f t="shared" si="143"/>
        <v>-0.15</v>
      </c>
      <c r="N64" s="174">
        <f t="shared" si="134"/>
        <v>-0.15</v>
      </c>
      <c r="O64" s="174">
        <f t="shared" si="134"/>
        <v>-0.15</v>
      </c>
      <c r="P64" s="172">
        <v>-0.15</v>
      </c>
      <c r="Q64" s="174">
        <f t="shared" si="140"/>
        <v>-0.15</v>
      </c>
      <c r="R64" s="174">
        <f t="shared" ref="R64:Y64" si="144">+Q64</f>
        <v>-0.15</v>
      </c>
      <c r="S64" s="174">
        <f t="shared" si="144"/>
        <v>-0.15</v>
      </c>
      <c r="T64" s="174">
        <f t="shared" si="144"/>
        <v>-0.15</v>
      </c>
      <c r="U64" s="174">
        <f t="shared" si="144"/>
        <v>-0.15</v>
      </c>
      <c r="V64" s="174">
        <f t="shared" si="144"/>
        <v>-0.15</v>
      </c>
      <c r="W64" s="174">
        <f t="shared" si="144"/>
        <v>-0.15</v>
      </c>
      <c r="X64" s="174">
        <f t="shared" si="144"/>
        <v>-0.15</v>
      </c>
      <c r="Y64" s="174">
        <f t="shared" si="144"/>
        <v>-0.15</v>
      </c>
      <c r="Z64" s="174">
        <f t="shared" si="136"/>
        <v>-0.15</v>
      </c>
      <c r="AA64" s="174">
        <f t="shared" si="136"/>
        <v>-0.15</v>
      </c>
      <c r="AB64" s="172">
        <v>-0.15</v>
      </c>
      <c r="AC64" s="174">
        <f t="shared" ref="AC64:AK64" si="145">+AB64</f>
        <v>-0.15</v>
      </c>
      <c r="AD64" s="174">
        <f t="shared" si="145"/>
        <v>-0.15</v>
      </c>
      <c r="AE64" s="174">
        <f t="shared" si="145"/>
        <v>-0.15</v>
      </c>
      <c r="AF64" s="174">
        <f t="shared" si="145"/>
        <v>-0.15</v>
      </c>
      <c r="AG64" s="174">
        <f t="shared" si="145"/>
        <v>-0.15</v>
      </c>
      <c r="AH64" s="174">
        <f t="shared" si="145"/>
        <v>-0.15</v>
      </c>
      <c r="AI64" s="174">
        <f t="shared" si="145"/>
        <v>-0.15</v>
      </c>
      <c r="AJ64" s="174">
        <f t="shared" si="145"/>
        <v>-0.15</v>
      </c>
      <c r="AK64" s="174">
        <f t="shared" si="145"/>
        <v>-0.15</v>
      </c>
      <c r="AL64" s="174">
        <f t="shared" si="138"/>
        <v>-0.15</v>
      </c>
      <c r="AM64" s="174">
        <f t="shared" si="138"/>
        <v>-0.15</v>
      </c>
      <c r="AN64" s="37" t="s">
        <v>10</v>
      </c>
    </row>
    <row r="65" spans="1:40" s="37" customFormat="1" x14ac:dyDescent="0.55000000000000004">
      <c r="A65" s="37" t="s">
        <v>224</v>
      </c>
      <c r="B65" s="48" t="s">
        <v>43</v>
      </c>
      <c r="C65" s="172">
        <v>8.8400000000000006E-3</v>
      </c>
      <c r="D65" s="172">
        <v>8.8400000000000006E-3</v>
      </c>
      <c r="E65" s="174">
        <f t="shared" ref="E65:M65" si="146">+D65</f>
        <v>8.8400000000000006E-3</v>
      </c>
      <c r="F65" s="174">
        <f t="shared" si="146"/>
        <v>8.8400000000000006E-3</v>
      </c>
      <c r="G65" s="174">
        <f t="shared" si="146"/>
        <v>8.8400000000000006E-3</v>
      </c>
      <c r="H65" s="174">
        <f t="shared" si="146"/>
        <v>8.8400000000000006E-3</v>
      </c>
      <c r="I65" s="174">
        <f t="shared" si="146"/>
        <v>8.8400000000000006E-3</v>
      </c>
      <c r="J65" s="174">
        <f t="shared" si="146"/>
        <v>8.8400000000000006E-3</v>
      </c>
      <c r="K65" s="174">
        <f t="shared" si="146"/>
        <v>8.8400000000000006E-3</v>
      </c>
      <c r="L65" s="174">
        <f t="shared" si="146"/>
        <v>8.8400000000000006E-3</v>
      </c>
      <c r="M65" s="174">
        <f t="shared" si="146"/>
        <v>8.8400000000000006E-3</v>
      </c>
      <c r="N65" s="174">
        <f t="shared" si="134"/>
        <v>8.8400000000000006E-3</v>
      </c>
      <c r="O65" s="174">
        <f t="shared" si="134"/>
        <v>8.8400000000000006E-3</v>
      </c>
      <c r="P65" s="172">
        <v>8.8400000000000006E-3</v>
      </c>
      <c r="Q65" s="174">
        <f t="shared" si="140"/>
        <v>8.8400000000000006E-3</v>
      </c>
      <c r="R65" s="174">
        <f t="shared" ref="R65:Y65" si="147">+Q65</f>
        <v>8.8400000000000006E-3</v>
      </c>
      <c r="S65" s="174">
        <f t="shared" si="147"/>
        <v>8.8400000000000006E-3</v>
      </c>
      <c r="T65" s="174">
        <f t="shared" si="147"/>
        <v>8.8400000000000006E-3</v>
      </c>
      <c r="U65" s="174">
        <f t="shared" si="147"/>
        <v>8.8400000000000006E-3</v>
      </c>
      <c r="V65" s="174">
        <f t="shared" si="147"/>
        <v>8.8400000000000006E-3</v>
      </c>
      <c r="W65" s="174">
        <f t="shared" si="147"/>
        <v>8.8400000000000006E-3</v>
      </c>
      <c r="X65" s="174">
        <f t="shared" si="147"/>
        <v>8.8400000000000006E-3</v>
      </c>
      <c r="Y65" s="174">
        <f t="shared" si="147"/>
        <v>8.8400000000000006E-3</v>
      </c>
      <c r="Z65" s="174">
        <f t="shared" si="136"/>
        <v>8.8400000000000006E-3</v>
      </c>
      <c r="AA65" s="174">
        <f t="shared" si="136"/>
        <v>8.8400000000000006E-3</v>
      </c>
      <c r="AB65" s="172">
        <v>8.8400000000000006E-3</v>
      </c>
      <c r="AC65" s="174">
        <f t="shared" ref="AC65:AK65" si="148">+AB65</f>
        <v>8.8400000000000006E-3</v>
      </c>
      <c r="AD65" s="174">
        <f t="shared" si="148"/>
        <v>8.8400000000000006E-3</v>
      </c>
      <c r="AE65" s="174">
        <f t="shared" si="148"/>
        <v>8.8400000000000006E-3</v>
      </c>
      <c r="AF65" s="174">
        <f t="shared" si="148"/>
        <v>8.8400000000000006E-3</v>
      </c>
      <c r="AG65" s="174">
        <f t="shared" si="148"/>
        <v>8.8400000000000006E-3</v>
      </c>
      <c r="AH65" s="174">
        <f t="shared" si="148"/>
        <v>8.8400000000000006E-3</v>
      </c>
      <c r="AI65" s="174">
        <f t="shared" si="148"/>
        <v>8.8400000000000006E-3</v>
      </c>
      <c r="AJ65" s="174">
        <f t="shared" si="148"/>
        <v>8.8400000000000006E-3</v>
      </c>
      <c r="AK65" s="174">
        <f t="shared" si="148"/>
        <v>8.8400000000000006E-3</v>
      </c>
      <c r="AL65" s="174">
        <f t="shared" si="138"/>
        <v>8.8400000000000006E-3</v>
      </c>
      <c r="AM65" s="174">
        <f t="shared" si="138"/>
        <v>8.8400000000000006E-3</v>
      </c>
      <c r="AN65" s="37" t="s">
        <v>10</v>
      </c>
    </row>
    <row r="66" spans="1:40" s="37" customFormat="1" x14ac:dyDescent="0.55000000000000004">
      <c r="A66" s="37" t="s">
        <v>225</v>
      </c>
      <c r="B66" s="48" t="s">
        <v>154</v>
      </c>
      <c r="C66" s="172">
        <v>0</v>
      </c>
      <c r="D66" s="172">
        <v>0</v>
      </c>
      <c r="E66" s="174">
        <f t="shared" ref="E66:M66" si="149">+D66</f>
        <v>0</v>
      </c>
      <c r="F66" s="174">
        <f t="shared" si="149"/>
        <v>0</v>
      </c>
      <c r="G66" s="174">
        <f t="shared" si="149"/>
        <v>0</v>
      </c>
      <c r="H66" s="174">
        <f t="shared" si="149"/>
        <v>0</v>
      </c>
      <c r="I66" s="174">
        <f t="shared" si="149"/>
        <v>0</v>
      </c>
      <c r="J66" s="174">
        <f t="shared" si="149"/>
        <v>0</v>
      </c>
      <c r="K66" s="174">
        <f t="shared" si="149"/>
        <v>0</v>
      </c>
      <c r="L66" s="174">
        <f t="shared" si="149"/>
        <v>0</v>
      </c>
      <c r="M66" s="174">
        <f t="shared" si="149"/>
        <v>0</v>
      </c>
      <c r="N66" s="174">
        <v>-5.65</v>
      </c>
      <c r="O66" s="174">
        <v>0</v>
      </c>
      <c r="P66" s="172">
        <v>0</v>
      </c>
      <c r="Q66" s="174">
        <f t="shared" si="140"/>
        <v>0</v>
      </c>
      <c r="R66" s="174">
        <f t="shared" ref="R66:Y66" si="150">+Q66</f>
        <v>0</v>
      </c>
      <c r="S66" s="174">
        <f t="shared" si="150"/>
        <v>0</v>
      </c>
      <c r="T66" s="174">
        <f t="shared" si="150"/>
        <v>0</v>
      </c>
      <c r="U66" s="174">
        <f t="shared" si="150"/>
        <v>0</v>
      </c>
      <c r="V66" s="174">
        <f t="shared" si="150"/>
        <v>0</v>
      </c>
      <c r="W66" s="174">
        <f t="shared" si="150"/>
        <v>0</v>
      </c>
      <c r="X66" s="174">
        <f t="shared" si="150"/>
        <v>0</v>
      </c>
      <c r="Y66" s="174">
        <f t="shared" si="150"/>
        <v>0</v>
      </c>
      <c r="Z66" s="174">
        <f t="shared" si="136"/>
        <v>0</v>
      </c>
      <c r="AA66" s="174">
        <f t="shared" si="136"/>
        <v>0</v>
      </c>
      <c r="AB66" s="172">
        <v>0</v>
      </c>
      <c r="AC66" s="174">
        <f t="shared" ref="AC66:AK66" si="151">+AB66</f>
        <v>0</v>
      </c>
      <c r="AD66" s="174">
        <f t="shared" si="151"/>
        <v>0</v>
      </c>
      <c r="AE66" s="174">
        <f t="shared" si="151"/>
        <v>0</v>
      </c>
      <c r="AF66" s="174">
        <f t="shared" si="151"/>
        <v>0</v>
      </c>
      <c r="AG66" s="174">
        <f t="shared" si="151"/>
        <v>0</v>
      </c>
      <c r="AH66" s="174">
        <f t="shared" si="151"/>
        <v>0</v>
      </c>
      <c r="AI66" s="174">
        <f t="shared" si="151"/>
        <v>0</v>
      </c>
      <c r="AJ66" s="174">
        <f t="shared" si="151"/>
        <v>0</v>
      </c>
      <c r="AK66" s="174">
        <f t="shared" si="151"/>
        <v>0</v>
      </c>
      <c r="AL66" s="174">
        <f t="shared" si="138"/>
        <v>0</v>
      </c>
      <c r="AM66" s="174">
        <f t="shared" si="138"/>
        <v>0</v>
      </c>
      <c r="AN66" s="37" t="s">
        <v>10</v>
      </c>
    </row>
    <row r="67" spans="1:40" s="37" customFormat="1" x14ac:dyDescent="0.55000000000000004">
      <c r="A67" s="37" t="str">
        <f t="shared" ref="A67:A74" si="152">A51</f>
        <v>Interim Memo Account Surcharge</v>
      </c>
      <c r="B67" s="48" t="s">
        <v>43</v>
      </c>
      <c r="C67" s="172">
        <v>0</v>
      </c>
      <c r="D67" s="172">
        <v>0</v>
      </c>
      <c r="E67" s="174">
        <f t="shared" ref="E67:M67" si="153">+D67</f>
        <v>0</v>
      </c>
      <c r="F67" s="174">
        <f t="shared" si="153"/>
        <v>0</v>
      </c>
      <c r="G67" s="174">
        <f t="shared" si="153"/>
        <v>0</v>
      </c>
      <c r="H67" s="174">
        <f t="shared" si="153"/>
        <v>0</v>
      </c>
      <c r="I67" s="174">
        <f t="shared" si="153"/>
        <v>0</v>
      </c>
      <c r="J67" s="174">
        <f t="shared" si="153"/>
        <v>0</v>
      </c>
      <c r="K67" s="174">
        <f t="shared" si="153"/>
        <v>0</v>
      </c>
      <c r="L67" s="174">
        <f t="shared" si="153"/>
        <v>0</v>
      </c>
      <c r="M67" s="174">
        <f t="shared" si="153"/>
        <v>0</v>
      </c>
      <c r="N67" s="174">
        <f t="shared" si="134"/>
        <v>0</v>
      </c>
      <c r="O67" s="174">
        <f t="shared" si="134"/>
        <v>0</v>
      </c>
      <c r="P67" s="172">
        <v>0.44080000000000003</v>
      </c>
      <c r="Q67" s="174">
        <f t="shared" si="140"/>
        <v>0.44080000000000003</v>
      </c>
      <c r="R67" s="174">
        <f t="shared" ref="R67:Y67" si="154">+Q67</f>
        <v>0.44080000000000003</v>
      </c>
      <c r="S67" s="174">
        <f t="shared" si="154"/>
        <v>0.44080000000000003</v>
      </c>
      <c r="T67" s="174">
        <f t="shared" si="154"/>
        <v>0.44080000000000003</v>
      </c>
      <c r="U67" s="174">
        <f t="shared" si="154"/>
        <v>0.44080000000000003</v>
      </c>
      <c r="V67" s="174">
        <f t="shared" si="154"/>
        <v>0.44080000000000003</v>
      </c>
      <c r="W67" s="174">
        <f t="shared" si="154"/>
        <v>0.44080000000000003</v>
      </c>
      <c r="X67" s="174">
        <f t="shared" si="154"/>
        <v>0.44080000000000003</v>
      </c>
      <c r="Y67" s="174">
        <f t="shared" si="154"/>
        <v>0.44080000000000003</v>
      </c>
      <c r="Z67" s="174">
        <f t="shared" si="136"/>
        <v>0.44080000000000003</v>
      </c>
      <c r="AA67" s="174">
        <f t="shared" si="136"/>
        <v>0.44080000000000003</v>
      </c>
      <c r="AB67" s="172">
        <v>0</v>
      </c>
      <c r="AC67" s="174">
        <f t="shared" ref="AC67:AK67" si="155">+AB67</f>
        <v>0</v>
      </c>
      <c r="AD67" s="174">
        <f t="shared" si="155"/>
        <v>0</v>
      </c>
      <c r="AE67" s="174">
        <f t="shared" si="155"/>
        <v>0</v>
      </c>
      <c r="AF67" s="174">
        <f t="shared" si="155"/>
        <v>0</v>
      </c>
      <c r="AG67" s="174">
        <f t="shared" si="155"/>
        <v>0</v>
      </c>
      <c r="AH67" s="174">
        <f t="shared" si="155"/>
        <v>0</v>
      </c>
      <c r="AI67" s="174">
        <f t="shared" si="155"/>
        <v>0</v>
      </c>
      <c r="AJ67" s="174">
        <f t="shared" si="155"/>
        <v>0</v>
      </c>
      <c r="AK67" s="174">
        <f t="shared" si="155"/>
        <v>0</v>
      </c>
      <c r="AL67" s="174">
        <f t="shared" si="138"/>
        <v>0</v>
      </c>
      <c r="AM67" s="174">
        <f t="shared" si="138"/>
        <v>0</v>
      </c>
      <c r="AN67" s="37" t="s">
        <v>10</v>
      </c>
    </row>
    <row r="68" spans="1:40" s="37" customFormat="1" x14ac:dyDescent="0.55000000000000004">
      <c r="A68" s="37">
        <f t="shared" si="152"/>
        <v>0</v>
      </c>
      <c r="B68" s="48" t="s">
        <v>43</v>
      </c>
      <c r="C68" s="172">
        <v>0</v>
      </c>
      <c r="D68" s="172">
        <v>0</v>
      </c>
      <c r="E68" s="174">
        <f t="shared" ref="E68:M68" si="156">+D68</f>
        <v>0</v>
      </c>
      <c r="F68" s="174">
        <f t="shared" si="156"/>
        <v>0</v>
      </c>
      <c r="G68" s="174">
        <f t="shared" si="156"/>
        <v>0</v>
      </c>
      <c r="H68" s="174">
        <f t="shared" si="156"/>
        <v>0</v>
      </c>
      <c r="I68" s="174">
        <f t="shared" si="156"/>
        <v>0</v>
      </c>
      <c r="J68" s="174">
        <f t="shared" si="156"/>
        <v>0</v>
      </c>
      <c r="K68" s="174">
        <f t="shared" si="156"/>
        <v>0</v>
      </c>
      <c r="L68" s="174">
        <f t="shared" si="156"/>
        <v>0</v>
      </c>
      <c r="M68" s="174">
        <f t="shared" si="156"/>
        <v>0</v>
      </c>
      <c r="N68" s="174">
        <f t="shared" si="134"/>
        <v>0</v>
      </c>
      <c r="O68" s="174">
        <f t="shared" si="134"/>
        <v>0</v>
      </c>
      <c r="P68" s="172">
        <v>0</v>
      </c>
      <c r="Q68" s="174">
        <f t="shared" si="140"/>
        <v>0</v>
      </c>
      <c r="R68" s="174">
        <f t="shared" ref="R68:Y68" si="157">+Q68</f>
        <v>0</v>
      </c>
      <c r="S68" s="174">
        <f t="shared" si="157"/>
        <v>0</v>
      </c>
      <c r="T68" s="174">
        <f t="shared" si="157"/>
        <v>0</v>
      </c>
      <c r="U68" s="174">
        <f t="shared" si="157"/>
        <v>0</v>
      </c>
      <c r="V68" s="174">
        <f t="shared" si="157"/>
        <v>0</v>
      </c>
      <c r="W68" s="174">
        <f t="shared" si="157"/>
        <v>0</v>
      </c>
      <c r="X68" s="174">
        <f t="shared" si="157"/>
        <v>0</v>
      </c>
      <c r="Y68" s="174">
        <f t="shared" si="157"/>
        <v>0</v>
      </c>
      <c r="Z68" s="174">
        <f t="shared" si="136"/>
        <v>0</v>
      </c>
      <c r="AA68" s="174">
        <f t="shared" si="136"/>
        <v>0</v>
      </c>
      <c r="AB68" s="172">
        <v>0</v>
      </c>
      <c r="AC68" s="174">
        <f t="shared" ref="AC68:AK68" si="158">+AB68</f>
        <v>0</v>
      </c>
      <c r="AD68" s="174">
        <f t="shared" si="158"/>
        <v>0</v>
      </c>
      <c r="AE68" s="174">
        <f t="shared" si="158"/>
        <v>0</v>
      </c>
      <c r="AF68" s="174">
        <f t="shared" si="158"/>
        <v>0</v>
      </c>
      <c r="AG68" s="174">
        <f t="shared" si="158"/>
        <v>0</v>
      </c>
      <c r="AH68" s="174">
        <f t="shared" si="158"/>
        <v>0</v>
      </c>
      <c r="AI68" s="174">
        <f t="shared" si="158"/>
        <v>0</v>
      </c>
      <c r="AJ68" s="174">
        <f t="shared" si="158"/>
        <v>0</v>
      </c>
      <c r="AK68" s="174">
        <f t="shared" si="158"/>
        <v>0</v>
      </c>
      <c r="AL68" s="174">
        <f t="shared" si="138"/>
        <v>0</v>
      </c>
      <c r="AM68" s="174">
        <f t="shared" si="138"/>
        <v>0</v>
      </c>
      <c r="AN68" s="37" t="s">
        <v>10</v>
      </c>
    </row>
    <row r="69" spans="1:40" s="37" customFormat="1" x14ac:dyDescent="0.55000000000000004">
      <c r="A69" s="37">
        <f t="shared" si="152"/>
        <v>0</v>
      </c>
      <c r="B69" s="48" t="s">
        <v>43</v>
      </c>
      <c r="C69" s="172">
        <v>0</v>
      </c>
      <c r="D69" s="172">
        <v>0</v>
      </c>
      <c r="E69" s="174">
        <f t="shared" ref="E69:M69" si="159">+D69</f>
        <v>0</v>
      </c>
      <c r="F69" s="174">
        <f t="shared" si="159"/>
        <v>0</v>
      </c>
      <c r="G69" s="174">
        <f t="shared" si="159"/>
        <v>0</v>
      </c>
      <c r="H69" s="174">
        <f t="shared" si="159"/>
        <v>0</v>
      </c>
      <c r="I69" s="174">
        <f t="shared" si="159"/>
        <v>0</v>
      </c>
      <c r="J69" s="174">
        <f t="shared" si="159"/>
        <v>0</v>
      </c>
      <c r="K69" s="174">
        <f t="shared" si="159"/>
        <v>0</v>
      </c>
      <c r="L69" s="174">
        <f t="shared" si="159"/>
        <v>0</v>
      </c>
      <c r="M69" s="174">
        <f t="shared" si="159"/>
        <v>0</v>
      </c>
      <c r="N69" s="174">
        <f t="shared" si="134"/>
        <v>0</v>
      </c>
      <c r="O69" s="174">
        <f t="shared" si="134"/>
        <v>0</v>
      </c>
      <c r="P69" s="172">
        <v>0</v>
      </c>
      <c r="Q69" s="174">
        <f t="shared" si="140"/>
        <v>0</v>
      </c>
      <c r="R69" s="174">
        <f t="shared" ref="R69:Y69" si="160">+Q69</f>
        <v>0</v>
      </c>
      <c r="S69" s="174">
        <f t="shared" si="160"/>
        <v>0</v>
      </c>
      <c r="T69" s="174">
        <f t="shared" si="160"/>
        <v>0</v>
      </c>
      <c r="U69" s="174">
        <f t="shared" si="160"/>
        <v>0</v>
      </c>
      <c r="V69" s="174">
        <f t="shared" si="160"/>
        <v>0</v>
      </c>
      <c r="W69" s="174">
        <f t="shared" si="160"/>
        <v>0</v>
      </c>
      <c r="X69" s="174">
        <f t="shared" si="160"/>
        <v>0</v>
      </c>
      <c r="Y69" s="174">
        <f t="shared" si="160"/>
        <v>0</v>
      </c>
      <c r="Z69" s="174">
        <f t="shared" si="136"/>
        <v>0</v>
      </c>
      <c r="AA69" s="174">
        <f t="shared" si="136"/>
        <v>0</v>
      </c>
      <c r="AB69" s="172">
        <v>0</v>
      </c>
      <c r="AC69" s="174">
        <f t="shared" ref="AC69:AK69" si="161">+AB69</f>
        <v>0</v>
      </c>
      <c r="AD69" s="174">
        <f t="shared" si="161"/>
        <v>0</v>
      </c>
      <c r="AE69" s="174">
        <f t="shared" si="161"/>
        <v>0</v>
      </c>
      <c r="AF69" s="174">
        <f t="shared" si="161"/>
        <v>0</v>
      </c>
      <c r="AG69" s="174">
        <f t="shared" si="161"/>
        <v>0</v>
      </c>
      <c r="AH69" s="174">
        <f t="shared" si="161"/>
        <v>0</v>
      </c>
      <c r="AI69" s="174">
        <f t="shared" si="161"/>
        <v>0</v>
      </c>
      <c r="AJ69" s="174">
        <f t="shared" si="161"/>
        <v>0</v>
      </c>
      <c r="AK69" s="174">
        <f t="shared" si="161"/>
        <v>0</v>
      </c>
      <c r="AL69" s="174">
        <f t="shared" si="138"/>
        <v>0</v>
      </c>
      <c r="AM69" s="174">
        <f t="shared" si="138"/>
        <v>0</v>
      </c>
      <c r="AN69" s="37" t="s">
        <v>10</v>
      </c>
    </row>
    <row r="70" spans="1:40" s="37" customFormat="1" x14ac:dyDescent="0.55000000000000004">
      <c r="A70" s="37">
        <f t="shared" si="152"/>
        <v>0</v>
      </c>
      <c r="B70" s="48" t="s">
        <v>154</v>
      </c>
      <c r="C70" s="172">
        <v>0</v>
      </c>
      <c r="D70" s="172">
        <v>0</v>
      </c>
      <c r="E70" s="174">
        <f t="shared" ref="E70:M70" si="162">+D70</f>
        <v>0</v>
      </c>
      <c r="F70" s="174">
        <f t="shared" si="162"/>
        <v>0</v>
      </c>
      <c r="G70" s="174">
        <f t="shared" si="162"/>
        <v>0</v>
      </c>
      <c r="H70" s="174">
        <f t="shared" si="162"/>
        <v>0</v>
      </c>
      <c r="I70" s="174">
        <f t="shared" si="162"/>
        <v>0</v>
      </c>
      <c r="J70" s="174">
        <f t="shared" si="162"/>
        <v>0</v>
      </c>
      <c r="K70" s="174">
        <f t="shared" si="162"/>
        <v>0</v>
      </c>
      <c r="L70" s="174">
        <f t="shared" si="162"/>
        <v>0</v>
      </c>
      <c r="M70" s="174">
        <f t="shared" si="162"/>
        <v>0</v>
      </c>
      <c r="N70" s="174">
        <f t="shared" si="134"/>
        <v>0</v>
      </c>
      <c r="O70" s="174">
        <f t="shared" si="134"/>
        <v>0</v>
      </c>
      <c r="P70" s="172">
        <v>0</v>
      </c>
      <c r="Q70" s="174">
        <f t="shared" si="140"/>
        <v>0</v>
      </c>
      <c r="R70" s="174">
        <f t="shared" ref="R70:Y70" si="163">+Q70</f>
        <v>0</v>
      </c>
      <c r="S70" s="174">
        <f t="shared" si="163"/>
        <v>0</v>
      </c>
      <c r="T70" s="174">
        <f t="shared" si="163"/>
        <v>0</v>
      </c>
      <c r="U70" s="174">
        <f t="shared" si="163"/>
        <v>0</v>
      </c>
      <c r="V70" s="174">
        <f t="shared" si="163"/>
        <v>0</v>
      </c>
      <c r="W70" s="174">
        <f t="shared" si="163"/>
        <v>0</v>
      </c>
      <c r="X70" s="174">
        <f t="shared" si="163"/>
        <v>0</v>
      </c>
      <c r="Y70" s="174">
        <f t="shared" si="163"/>
        <v>0</v>
      </c>
      <c r="Z70" s="174">
        <f t="shared" si="136"/>
        <v>0</v>
      </c>
      <c r="AA70" s="174">
        <f t="shared" si="136"/>
        <v>0</v>
      </c>
      <c r="AB70" s="172">
        <v>0</v>
      </c>
      <c r="AC70" s="174">
        <f t="shared" ref="AC70:AK70" si="164">+AB70</f>
        <v>0</v>
      </c>
      <c r="AD70" s="174">
        <f t="shared" si="164"/>
        <v>0</v>
      </c>
      <c r="AE70" s="174">
        <f t="shared" si="164"/>
        <v>0</v>
      </c>
      <c r="AF70" s="174">
        <f t="shared" si="164"/>
        <v>0</v>
      </c>
      <c r="AG70" s="174">
        <f t="shared" si="164"/>
        <v>0</v>
      </c>
      <c r="AH70" s="174">
        <f t="shared" si="164"/>
        <v>0</v>
      </c>
      <c r="AI70" s="174">
        <f t="shared" si="164"/>
        <v>0</v>
      </c>
      <c r="AJ70" s="174">
        <f t="shared" si="164"/>
        <v>0</v>
      </c>
      <c r="AK70" s="174">
        <f t="shared" si="164"/>
        <v>0</v>
      </c>
      <c r="AL70" s="174">
        <f t="shared" si="138"/>
        <v>0</v>
      </c>
      <c r="AM70" s="174">
        <f t="shared" si="138"/>
        <v>0</v>
      </c>
      <c r="AN70" s="37" t="s">
        <v>10</v>
      </c>
    </row>
    <row r="71" spans="1:40" s="37" customFormat="1" x14ac:dyDescent="0.55000000000000004">
      <c r="A71" s="37">
        <f t="shared" si="152"/>
        <v>0</v>
      </c>
      <c r="B71" s="48" t="s">
        <v>43</v>
      </c>
      <c r="C71" s="172">
        <v>0</v>
      </c>
      <c r="D71" s="172">
        <v>0</v>
      </c>
      <c r="E71" s="174">
        <f t="shared" ref="E71:M71" si="165">+D71</f>
        <v>0</v>
      </c>
      <c r="F71" s="174">
        <f t="shared" si="165"/>
        <v>0</v>
      </c>
      <c r="G71" s="174">
        <f t="shared" si="165"/>
        <v>0</v>
      </c>
      <c r="H71" s="174">
        <f t="shared" si="165"/>
        <v>0</v>
      </c>
      <c r="I71" s="174">
        <f t="shared" si="165"/>
        <v>0</v>
      </c>
      <c r="J71" s="174">
        <f t="shared" si="165"/>
        <v>0</v>
      </c>
      <c r="K71" s="174">
        <f t="shared" si="165"/>
        <v>0</v>
      </c>
      <c r="L71" s="174">
        <f t="shared" si="165"/>
        <v>0</v>
      </c>
      <c r="M71" s="174">
        <f t="shared" si="165"/>
        <v>0</v>
      </c>
      <c r="N71" s="174">
        <f t="shared" si="134"/>
        <v>0</v>
      </c>
      <c r="O71" s="174">
        <f t="shared" si="134"/>
        <v>0</v>
      </c>
      <c r="P71" s="172">
        <v>0</v>
      </c>
      <c r="Q71" s="174">
        <f t="shared" si="140"/>
        <v>0</v>
      </c>
      <c r="R71" s="174">
        <f t="shared" ref="R71:Y71" si="166">+Q71</f>
        <v>0</v>
      </c>
      <c r="S71" s="174">
        <f t="shared" si="166"/>
        <v>0</v>
      </c>
      <c r="T71" s="174">
        <f t="shared" si="166"/>
        <v>0</v>
      </c>
      <c r="U71" s="174">
        <f t="shared" si="166"/>
        <v>0</v>
      </c>
      <c r="V71" s="174">
        <f t="shared" si="166"/>
        <v>0</v>
      </c>
      <c r="W71" s="174">
        <f t="shared" si="166"/>
        <v>0</v>
      </c>
      <c r="X71" s="174">
        <f t="shared" si="166"/>
        <v>0</v>
      </c>
      <c r="Y71" s="174">
        <f t="shared" si="166"/>
        <v>0</v>
      </c>
      <c r="Z71" s="174">
        <f t="shared" si="136"/>
        <v>0</v>
      </c>
      <c r="AA71" s="174">
        <f t="shared" si="136"/>
        <v>0</v>
      </c>
      <c r="AB71" s="172">
        <v>0</v>
      </c>
      <c r="AC71" s="174">
        <f t="shared" ref="AC71:AK71" si="167">+AB71</f>
        <v>0</v>
      </c>
      <c r="AD71" s="174">
        <f t="shared" si="167"/>
        <v>0</v>
      </c>
      <c r="AE71" s="174">
        <f t="shared" si="167"/>
        <v>0</v>
      </c>
      <c r="AF71" s="174">
        <f t="shared" si="167"/>
        <v>0</v>
      </c>
      <c r="AG71" s="174">
        <f t="shared" si="167"/>
        <v>0</v>
      </c>
      <c r="AH71" s="174">
        <f t="shared" si="167"/>
        <v>0</v>
      </c>
      <c r="AI71" s="174">
        <f t="shared" si="167"/>
        <v>0</v>
      </c>
      <c r="AJ71" s="174">
        <f t="shared" si="167"/>
        <v>0</v>
      </c>
      <c r="AK71" s="174">
        <f t="shared" si="167"/>
        <v>0</v>
      </c>
      <c r="AL71" s="174">
        <f t="shared" si="138"/>
        <v>0</v>
      </c>
      <c r="AM71" s="174">
        <f t="shared" si="138"/>
        <v>0</v>
      </c>
      <c r="AN71" s="37" t="s">
        <v>10</v>
      </c>
    </row>
    <row r="72" spans="1:40" s="37" customFormat="1" x14ac:dyDescent="0.55000000000000004">
      <c r="A72" s="37">
        <f t="shared" si="152"/>
        <v>0</v>
      </c>
      <c r="B72" s="48" t="s">
        <v>154</v>
      </c>
      <c r="C72" s="172">
        <v>0</v>
      </c>
      <c r="D72" s="172">
        <v>0</v>
      </c>
      <c r="E72" s="174">
        <f t="shared" ref="E72:M72" si="168">+D72</f>
        <v>0</v>
      </c>
      <c r="F72" s="174">
        <f t="shared" si="168"/>
        <v>0</v>
      </c>
      <c r="G72" s="174">
        <f t="shared" si="168"/>
        <v>0</v>
      </c>
      <c r="H72" s="174">
        <f t="shared" si="168"/>
        <v>0</v>
      </c>
      <c r="I72" s="174">
        <f t="shared" si="168"/>
        <v>0</v>
      </c>
      <c r="J72" s="174">
        <f t="shared" si="168"/>
        <v>0</v>
      </c>
      <c r="K72" s="174">
        <f t="shared" si="168"/>
        <v>0</v>
      </c>
      <c r="L72" s="174">
        <f t="shared" si="168"/>
        <v>0</v>
      </c>
      <c r="M72" s="174">
        <f t="shared" si="168"/>
        <v>0</v>
      </c>
      <c r="N72" s="174">
        <f t="shared" si="134"/>
        <v>0</v>
      </c>
      <c r="O72" s="174">
        <f t="shared" si="134"/>
        <v>0</v>
      </c>
      <c r="P72" s="172">
        <v>0</v>
      </c>
      <c r="Q72" s="174">
        <f t="shared" si="140"/>
        <v>0</v>
      </c>
      <c r="R72" s="174">
        <f t="shared" ref="R72:Y72" si="169">+Q72</f>
        <v>0</v>
      </c>
      <c r="S72" s="174">
        <f t="shared" si="169"/>
        <v>0</v>
      </c>
      <c r="T72" s="174">
        <f t="shared" si="169"/>
        <v>0</v>
      </c>
      <c r="U72" s="174">
        <f t="shared" si="169"/>
        <v>0</v>
      </c>
      <c r="V72" s="174">
        <f t="shared" si="169"/>
        <v>0</v>
      </c>
      <c r="W72" s="174">
        <f t="shared" si="169"/>
        <v>0</v>
      </c>
      <c r="X72" s="174">
        <f t="shared" si="169"/>
        <v>0</v>
      </c>
      <c r="Y72" s="174">
        <f t="shared" si="169"/>
        <v>0</v>
      </c>
      <c r="Z72" s="174">
        <f t="shared" si="136"/>
        <v>0</v>
      </c>
      <c r="AA72" s="174">
        <f t="shared" si="136"/>
        <v>0</v>
      </c>
      <c r="AB72" s="172">
        <v>0</v>
      </c>
      <c r="AC72" s="174">
        <f t="shared" ref="AC72:AK72" si="170">+AB72</f>
        <v>0</v>
      </c>
      <c r="AD72" s="174">
        <f t="shared" si="170"/>
        <v>0</v>
      </c>
      <c r="AE72" s="174">
        <f t="shared" si="170"/>
        <v>0</v>
      </c>
      <c r="AF72" s="174">
        <f t="shared" si="170"/>
        <v>0</v>
      </c>
      <c r="AG72" s="174">
        <f t="shared" si="170"/>
        <v>0</v>
      </c>
      <c r="AH72" s="174">
        <f t="shared" si="170"/>
        <v>0</v>
      </c>
      <c r="AI72" s="174">
        <f t="shared" si="170"/>
        <v>0</v>
      </c>
      <c r="AJ72" s="174">
        <f t="shared" si="170"/>
        <v>0</v>
      </c>
      <c r="AK72" s="174">
        <f t="shared" si="170"/>
        <v>0</v>
      </c>
      <c r="AL72" s="174">
        <f t="shared" si="138"/>
        <v>0</v>
      </c>
      <c r="AM72" s="174">
        <f t="shared" si="138"/>
        <v>0</v>
      </c>
      <c r="AN72" s="37" t="s">
        <v>10</v>
      </c>
    </row>
    <row r="73" spans="1:40" s="37" customFormat="1" x14ac:dyDescent="0.55000000000000004">
      <c r="A73" s="37">
        <f t="shared" si="152"/>
        <v>0</v>
      </c>
      <c r="B73" s="48" t="s">
        <v>154</v>
      </c>
      <c r="C73" s="172">
        <v>0</v>
      </c>
      <c r="D73" s="172">
        <v>0</v>
      </c>
      <c r="E73" s="174">
        <f t="shared" ref="E73:M73" si="171">+D73</f>
        <v>0</v>
      </c>
      <c r="F73" s="174">
        <f t="shared" si="171"/>
        <v>0</v>
      </c>
      <c r="G73" s="174">
        <f t="shared" si="171"/>
        <v>0</v>
      </c>
      <c r="H73" s="174">
        <f t="shared" si="171"/>
        <v>0</v>
      </c>
      <c r="I73" s="174">
        <f t="shared" si="171"/>
        <v>0</v>
      </c>
      <c r="J73" s="174">
        <f t="shared" si="171"/>
        <v>0</v>
      </c>
      <c r="K73" s="174">
        <f t="shared" si="171"/>
        <v>0</v>
      </c>
      <c r="L73" s="174">
        <f t="shared" si="171"/>
        <v>0</v>
      </c>
      <c r="M73" s="174">
        <f t="shared" si="171"/>
        <v>0</v>
      </c>
      <c r="N73" s="174">
        <f t="shared" si="134"/>
        <v>0</v>
      </c>
      <c r="O73" s="174">
        <f t="shared" si="134"/>
        <v>0</v>
      </c>
      <c r="P73" s="172">
        <v>0</v>
      </c>
      <c r="Q73" s="174">
        <f t="shared" si="140"/>
        <v>0</v>
      </c>
      <c r="R73" s="174">
        <f t="shared" ref="R73:Y73" si="172">+Q73</f>
        <v>0</v>
      </c>
      <c r="S73" s="174">
        <f t="shared" si="172"/>
        <v>0</v>
      </c>
      <c r="T73" s="174">
        <f t="shared" si="172"/>
        <v>0</v>
      </c>
      <c r="U73" s="174">
        <f t="shared" si="172"/>
        <v>0</v>
      </c>
      <c r="V73" s="174">
        <f t="shared" si="172"/>
        <v>0</v>
      </c>
      <c r="W73" s="174">
        <f t="shared" si="172"/>
        <v>0</v>
      </c>
      <c r="X73" s="174">
        <f t="shared" si="172"/>
        <v>0</v>
      </c>
      <c r="Y73" s="174">
        <f t="shared" si="172"/>
        <v>0</v>
      </c>
      <c r="Z73" s="174">
        <f t="shared" si="136"/>
        <v>0</v>
      </c>
      <c r="AA73" s="174">
        <f t="shared" si="136"/>
        <v>0</v>
      </c>
      <c r="AB73" s="172">
        <v>0</v>
      </c>
      <c r="AC73" s="174">
        <f t="shared" ref="AC73:AK73" si="173">+AB73</f>
        <v>0</v>
      </c>
      <c r="AD73" s="174">
        <f t="shared" si="173"/>
        <v>0</v>
      </c>
      <c r="AE73" s="174">
        <f t="shared" si="173"/>
        <v>0</v>
      </c>
      <c r="AF73" s="174">
        <f t="shared" si="173"/>
        <v>0</v>
      </c>
      <c r="AG73" s="174">
        <f t="shared" si="173"/>
        <v>0</v>
      </c>
      <c r="AH73" s="174">
        <f t="shared" si="173"/>
        <v>0</v>
      </c>
      <c r="AI73" s="174">
        <f t="shared" si="173"/>
        <v>0</v>
      </c>
      <c r="AJ73" s="174">
        <f t="shared" si="173"/>
        <v>0</v>
      </c>
      <c r="AK73" s="174">
        <f t="shared" si="173"/>
        <v>0</v>
      </c>
      <c r="AL73" s="174">
        <f t="shared" si="138"/>
        <v>0</v>
      </c>
      <c r="AM73" s="174">
        <f t="shared" si="138"/>
        <v>0</v>
      </c>
      <c r="AN73" s="37" t="s">
        <v>10</v>
      </c>
    </row>
    <row r="74" spans="1:40" s="37" customFormat="1" x14ac:dyDescent="0.55000000000000004">
      <c r="A74" s="37">
        <f t="shared" si="152"/>
        <v>0</v>
      </c>
      <c r="B74" s="48"/>
      <c r="C74" s="172">
        <v>0</v>
      </c>
      <c r="D74" s="172">
        <v>0</v>
      </c>
      <c r="E74" s="174">
        <f t="shared" ref="E74:M74" si="174">+D74</f>
        <v>0</v>
      </c>
      <c r="F74" s="174">
        <f t="shared" si="174"/>
        <v>0</v>
      </c>
      <c r="G74" s="174">
        <f t="shared" si="174"/>
        <v>0</v>
      </c>
      <c r="H74" s="174">
        <f t="shared" si="174"/>
        <v>0</v>
      </c>
      <c r="I74" s="174">
        <f t="shared" si="174"/>
        <v>0</v>
      </c>
      <c r="J74" s="174">
        <f t="shared" si="174"/>
        <v>0</v>
      </c>
      <c r="K74" s="174">
        <f t="shared" si="174"/>
        <v>0</v>
      </c>
      <c r="L74" s="174">
        <f t="shared" si="174"/>
        <v>0</v>
      </c>
      <c r="M74" s="174">
        <f t="shared" si="174"/>
        <v>0</v>
      </c>
      <c r="N74" s="174">
        <f t="shared" si="134"/>
        <v>0</v>
      </c>
      <c r="O74" s="174">
        <f t="shared" si="134"/>
        <v>0</v>
      </c>
      <c r="P74" s="172">
        <v>0</v>
      </c>
      <c r="Q74" s="174">
        <f t="shared" ref="Q74:Y74" si="175">+P74</f>
        <v>0</v>
      </c>
      <c r="R74" s="174">
        <f t="shared" si="175"/>
        <v>0</v>
      </c>
      <c r="S74" s="174">
        <f t="shared" si="175"/>
        <v>0</v>
      </c>
      <c r="T74" s="174">
        <f t="shared" si="175"/>
        <v>0</v>
      </c>
      <c r="U74" s="174">
        <f t="shared" si="175"/>
        <v>0</v>
      </c>
      <c r="V74" s="174">
        <f t="shared" si="175"/>
        <v>0</v>
      </c>
      <c r="W74" s="174">
        <f t="shared" si="175"/>
        <v>0</v>
      </c>
      <c r="X74" s="174">
        <f t="shared" si="175"/>
        <v>0</v>
      </c>
      <c r="Y74" s="174">
        <f t="shared" si="175"/>
        <v>0</v>
      </c>
      <c r="Z74" s="174">
        <f t="shared" si="136"/>
        <v>0</v>
      </c>
      <c r="AA74" s="174">
        <f t="shared" si="136"/>
        <v>0</v>
      </c>
      <c r="AB74" s="172"/>
      <c r="AC74" s="174">
        <f t="shared" ref="AC74:AK74" si="176">+AB74</f>
        <v>0</v>
      </c>
      <c r="AD74" s="174">
        <f t="shared" si="176"/>
        <v>0</v>
      </c>
      <c r="AE74" s="174">
        <f t="shared" si="176"/>
        <v>0</v>
      </c>
      <c r="AF74" s="174">
        <f t="shared" si="176"/>
        <v>0</v>
      </c>
      <c r="AG74" s="174">
        <f t="shared" si="176"/>
        <v>0</v>
      </c>
      <c r="AH74" s="174">
        <f t="shared" si="176"/>
        <v>0</v>
      </c>
      <c r="AI74" s="174">
        <f t="shared" si="176"/>
        <v>0</v>
      </c>
      <c r="AJ74" s="174">
        <f t="shared" si="176"/>
        <v>0</v>
      </c>
      <c r="AK74" s="174">
        <f t="shared" si="176"/>
        <v>0</v>
      </c>
      <c r="AL74" s="174">
        <f t="shared" si="138"/>
        <v>0</v>
      </c>
      <c r="AM74" s="174">
        <f t="shared" si="138"/>
        <v>0</v>
      </c>
      <c r="AN74" s="37" t="s">
        <v>10</v>
      </c>
    </row>
    <row r="75" spans="1:40" s="37" customFormat="1" x14ac:dyDescent="0.55000000000000004">
      <c r="B75"/>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40" s="37" customFormat="1" x14ac:dyDescent="0.55000000000000004">
      <c r="A76" s="41" t="s">
        <v>35</v>
      </c>
      <c r="B76" s="81" t="str">
        <f t="shared" ref="B76:AL76" si="177">C45</f>
        <v>January 2022</v>
      </c>
      <c r="C76" s="43" t="str">
        <f t="shared" si="177"/>
        <v>January 2022</v>
      </c>
      <c r="D76" s="43" t="str">
        <f t="shared" si="177"/>
        <v>February 2022</v>
      </c>
      <c r="E76" s="43" t="str">
        <f t="shared" si="177"/>
        <v>March 2022</v>
      </c>
      <c r="F76" s="43" t="str">
        <f t="shared" si="177"/>
        <v>April 2022</v>
      </c>
      <c r="G76" s="43" t="str">
        <f t="shared" si="177"/>
        <v>May 2022</v>
      </c>
      <c r="H76" s="43" t="str">
        <f t="shared" si="177"/>
        <v>June 2022</v>
      </c>
      <c r="I76" s="43" t="str">
        <f t="shared" si="177"/>
        <v>July 2022</v>
      </c>
      <c r="J76" s="43" t="str">
        <f t="shared" si="177"/>
        <v>August 2022</v>
      </c>
      <c r="K76" s="43" t="str">
        <f t="shared" si="177"/>
        <v>September 2022</v>
      </c>
      <c r="L76" s="43" t="str">
        <f t="shared" si="177"/>
        <v>October 2022</v>
      </c>
      <c r="M76" s="43" t="str">
        <f t="shared" si="177"/>
        <v>November 2022</v>
      </c>
      <c r="N76" s="43" t="str">
        <f t="shared" si="177"/>
        <v>December 2022</v>
      </c>
      <c r="O76" s="43" t="str">
        <f t="shared" si="177"/>
        <v>January 2023</v>
      </c>
      <c r="P76" s="43" t="str">
        <f t="shared" si="177"/>
        <v>February 2023</v>
      </c>
      <c r="Q76" s="43" t="str">
        <f t="shared" si="177"/>
        <v>March 2023</v>
      </c>
      <c r="R76" s="43" t="str">
        <f t="shared" si="177"/>
        <v>April 2023</v>
      </c>
      <c r="S76" s="43" t="str">
        <f t="shared" si="177"/>
        <v>May 2023</v>
      </c>
      <c r="T76" s="43" t="str">
        <f t="shared" si="177"/>
        <v>June 2023</v>
      </c>
      <c r="U76" s="43" t="str">
        <f t="shared" si="177"/>
        <v>July 2023</v>
      </c>
      <c r="V76" s="43" t="str">
        <f t="shared" si="177"/>
        <v>August 2023</v>
      </c>
      <c r="W76" s="43" t="str">
        <f t="shared" si="177"/>
        <v>September 2023</v>
      </c>
      <c r="X76" s="43" t="str">
        <f t="shared" si="177"/>
        <v>October 2023</v>
      </c>
      <c r="Y76" s="43" t="str">
        <f t="shared" si="177"/>
        <v>November 2023</v>
      </c>
      <c r="Z76" s="43" t="str">
        <f t="shared" si="177"/>
        <v>December 2023</v>
      </c>
      <c r="AA76" s="43" t="str">
        <f t="shared" si="177"/>
        <v>January 2024</v>
      </c>
      <c r="AB76" s="43" t="str">
        <f t="shared" si="177"/>
        <v>February 2024</v>
      </c>
      <c r="AC76" s="43" t="str">
        <f t="shared" si="177"/>
        <v>March 2024</v>
      </c>
      <c r="AD76" s="43" t="str">
        <f t="shared" si="177"/>
        <v>April 2024</v>
      </c>
      <c r="AE76" s="43" t="str">
        <f t="shared" si="177"/>
        <v>May 2024</v>
      </c>
      <c r="AF76" s="43" t="str">
        <f t="shared" si="177"/>
        <v>June 2024</v>
      </c>
      <c r="AG76" s="43" t="str">
        <f t="shared" si="177"/>
        <v>July 2024</v>
      </c>
      <c r="AH76" s="43" t="str">
        <f t="shared" si="177"/>
        <v>August 2024</v>
      </c>
      <c r="AI76" s="43" t="str">
        <f t="shared" si="177"/>
        <v>September 2024</v>
      </c>
      <c r="AJ76" s="43" t="str">
        <f t="shared" si="177"/>
        <v>October 2024</v>
      </c>
      <c r="AK76" s="43" t="str">
        <f t="shared" si="177"/>
        <v>November 2024</v>
      </c>
      <c r="AL76" s="43" t="str">
        <f t="shared" si="177"/>
        <v>December 2024</v>
      </c>
    </row>
    <row r="77" spans="1:40" s="37" customFormat="1" x14ac:dyDescent="0.55000000000000004">
      <c r="A77" s="37" t="s">
        <v>36</v>
      </c>
      <c r="B77" s="87">
        <v>1.43E-2</v>
      </c>
      <c r="C77" s="88">
        <f>B77</f>
        <v>1.43E-2</v>
      </c>
      <c r="D77" s="88">
        <f t="shared" ref="D77:AL78" si="178">C77</f>
        <v>1.43E-2</v>
      </c>
      <c r="E77" s="88">
        <f t="shared" si="178"/>
        <v>1.43E-2</v>
      </c>
      <c r="F77" s="88">
        <f t="shared" si="178"/>
        <v>1.43E-2</v>
      </c>
      <c r="G77" s="88">
        <f t="shared" si="178"/>
        <v>1.43E-2</v>
      </c>
      <c r="H77" s="88">
        <f t="shared" si="178"/>
        <v>1.43E-2</v>
      </c>
      <c r="I77" s="88">
        <f t="shared" si="178"/>
        <v>1.43E-2</v>
      </c>
      <c r="J77" s="88">
        <f t="shared" si="178"/>
        <v>1.43E-2</v>
      </c>
      <c r="K77" s="88">
        <f t="shared" si="178"/>
        <v>1.43E-2</v>
      </c>
      <c r="L77" s="88">
        <f t="shared" si="178"/>
        <v>1.43E-2</v>
      </c>
      <c r="M77" s="88">
        <f t="shared" si="178"/>
        <v>1.43E-2</v>
      </c>
      <c r="N77" s="88">
        <f t="shared" si="178"/>
        <v>1.43E-2</v>
      </c>
      <c r="O77" s="88">
        <v>8.0000000000000002E-3</v>
      </c>
      <c r="P77" s="182">
        <f>O77</f>
        <v>8.0000000000000002E-3</v>
      </c>
      <c r="Q77" s="88">
        <f t="shared" si="178"/>
        <v>8.0000000000000002E-3</v>
      </c>
      <c r="R77" s="88">
        <f t="shared" si="178"/>
        <v>8.0000000000000002E-3</v>
      </c>
      <c r="S77" s="88">
        <f t="shared" si="178"/>
        <v>8.0000000000000002E-3</v>
      </c>
      <c r="T77" s="88">
        <f t="shared" si="178"/>
        <v>8.0000000000000002E-3</v>
      </c>
      <c r="U77" s="88">
        <f t="shared" si="178"/>
        <v>8.0000000000000002E-3</v>
      </c>
      <c r="V77" s="88">
        <f>U77</f>
        <v>8.0000000000000002E-3</v>
      </c>
      <c r="W77" s="88">
        <f t="shared" si="178"/>
        <v>8.0000000000000002E-3</v>
      </c>
      <c r="X77" s="88">
        <f t="shared" si="178"/>
        <v>8.0000000000000002E-3</v>
      </c>
      <c r="Y77" s="88">
        <f t="shared" si="178"/>
        <v>8.0000000000000002E-3</v>
      </c>
      <c r="Z77" s="88">
        <f t="shared" si="178"/>
        <v>8.0000000000000002E-3</v>
      </c>
      <c r="AA77" s="88">
        <f t="shared" si="178"/>
        <v>8.0000000000000002E-3</v>
      </c>
      <c r="AB77" s="88">
        <f t="shared" si="178"/>
        <v>8.0000000000000002E-3</v>
      </c>
      <c r="AC77" s="88">
        <f t="shared" si="178"/>
        <v>8.0000000000000002E-3</v>
      </c>
      <c r="AD77" s="88">
        <f t="shared" si="178"/>
        <v>8.0000000000000002E-3</v>
      </c>
      <c r="AE77" s="88">
        <f t="shared" si="178"/>
        <v>8.0000000000000002E-3</v>
      </c>
      <c r="AF77" s="88">
        <f t="shared" si="178"/>
        <v>8.0000000000000002E-3</v>
      </c>
      <c r="AG77" s="88">
        <f t="shared" si="178"/>
        <v>8.0000000000000002E-3</v>
      </c>
      <c r="AH77" s="88">
        <f t="shared" si="178"/>
        <v>8.0000000000000002E-3</v>
      </c>
      <c r="AI77" s="88">
        <f t="shared" si="178"/>
        <v>8.0000000000000002E-3</v>
      </c>
      <c r="AJ77" s="88">
        <f t="shared" si="178"/>
        <v>8.0000000000000002E-3</v>
      </c>
      <c r="AK77" s="88">
        <f t="shared" si="178"/>
        <v>8.0000000000000002E-3</v>
      </c>
      <c r="AL77" s="88">
        <f t="shared" si="178"/>
        <v>8.0000000000000002E-3</v>
      </c>
      <c r="AM77" s="37" t="s">
        <v>10</v>
      </c>
    </row>
    <row r="78" spans="1:40" s="37" customFormat="1" x14ac:dyDescent="0.55000000000000004">
      <c r="A78" s="37" t="s">
        <v>249</v>
      </c>
      <c r="B78" s="87">
        <v>0.05</v>
      </c>
      <c r="C78" s="88">
        <f>B78</f>
        <v>0.05</v>
      </c>
      <c r="D78" s="109">
        <f>C78</f>
        <v>0.05</v>
      </c>
      <c r="E78" s="109">
        <f>D78</f>
        <v>0.05</v>
      </c>
      <c r="F78" s="109">
        <f t="shared" si="178"/>
        <v>0.05</v>
      </c>
      <c r="G78" s="109">
        <f t="shared" si="178"/>
        <v>0.05</v>
      </c>
      <c r="H78" s="109">
        <f t="shared" si="178"/>
        <v>0.05</v>
      </c>
      <c r="I78" s="109">
        <f t="shared" si="178"/>
        <v>0.05</v>
      </c>
      <c r="J78" s="109">
        <f t="shared" si="178"/>
        <v>0.05</v>
      </c>
      <c r="K78" s="109">
        <f t="shared" si="178"/>
        <v>0.05</v>
      </c>
      <c r="L78" s="109">
        <f t="shared" si="178"/>
        <v>0.05</v>
      </c>
      <c r="M78" s="109">
        <f t="shared" si="178"/>
        <v>0.05</v>
      </c>
      <c r="N78" s="109">
        <f t="shared" si="178"/>
        <v>0.05</v>
      </c>
      <c r="O78" s="109">
        <f t="shared" si="178"/>
        <v>0.05</v>
      </c>
      <c r="P78" s="182">
        <f>O78</f>
        <v>0.05</v>
      </c>
      <c r="Q78" s="109">
        <f t="shared" si="178"/>
        <v>0.05</v>
      </c>
      <c r="R78" s="109">
        <f t="shared" si="178"/>
        <v>0.05</v>
      </c>
      <c r="S78" s="109">
        <f t="shared" si="178"/>
        <v>0.05</v>
      </c>
      <c r="T78" s="109">
        <f t="shared" si="178"/>
        <v>0.05</v>
      </c>
      <c r="U78" s="109">
        <f t="shared" si="178"/>
        <v>0.05</v>
      </c>
      <c r="V78" s="109">
        <f t="shared" ref="V78" si="179">U78</f>
        <v>0.05</v>
      </c>
      <c r="W78" s="109">
        <f t="shared" si="178"/>
        <v>0.05</v>
      </c>
      <c r="X78" s="109">
        <f t="shared" si="178"/>
        <v>0.05</v>
      </c>
      <c r="Y78" s="109">
        <f t="shared" si="178"/>
        <v>0.05</v>
      </c>
      <c r="Z78" s="109">
        <f t="shared" si="178"/>
        <v>0.05</v>
      </c>
      <c r="AA78" s="109">
        <f t="shared" si="178"/>
        <v>0.05</v>
      </c>
      <c r="AB78" s="109">
        <f t="shared" si="178"/>
        <v>0.05</v>
      </c>
      <c r="AC78" s="109">
        <f t="shared" si="178"/>
        <v>0.05</v>
      </c>
      <c r="AD78" s="109">
        <f t="shared" si="178"/>
        <v>0.05</v>
      </c>
      <c r="AE78" s="109">
        <f t="shared" si="178"/>
        <v>0.05</v>
      </c>
      <c r="AF78" s="109">
        <f t="shared" si="178"/>
        <v>0.05</v>
      </c>
      <c r="AG78" s="109">
        <f t="shared" si="178"/>
        <v>0.05</v>
      </c>
      <c r="AH78" s="109">
        <f t="shared" si="178"/>
        <v>0.05</v>
      </c>
      <c r="AI78" s="109">
        <f t="shared" si="178"/>
        <v>0.05</v>
      </c>
      <c r="AJ78" s="109">
        <f t="shared" si="178"/>
        <v>0.05</v>
      </c>
      <c r="AK78" s="109">
        <f t="shared" si="178"/>
        <v>0.05</v>
      </c>
      <c r="AL78" s="109">
        <f t="shared" si="178"/>
        <v>0.05</v>
      </c>
      <c r="AM78" s="37" t="s">
        <v>10</v>
      </c>
    </row>
    <row r="79" spans="1:40" s="37" customFormat="1" x14ac:dyDescent="0.55000000000000004">
      <c r="A79" s="37" t="s">
        <v>47</v>
      </c>
      <c r="C79" s="42"/>
      <c r="AM79" s="37" t="s">
        <v>10</v>
      </c>
    </row>
    <row r="80" spans="1:40" s="37" customFormat="1" x14ac:dyDescent="0.55000000000000004">
      <c r="A80" s="37" t="s">
        <v>47</v>
      </c>
      <c r="C80" s="42"/>
      <c r="AM80" s="37" t="s">
        <v>10</v>
      </c>
    </row>
    <row r="81" spans="1:39" s="37" customFormat="1" x14ac:dyDescent="0.55000000000000004">
      <c r="A81" s="37" t="s">
        <v>47</v>
      </c>
      <c r="C81" s="42"/>
      <c r="AM81" s="37" t="s">
        <v>10</v>
      </c>
    </row>
    <row r="82" spans="1:39" s="37" customFormat="1" x14ac:dyDescent="0.55000000000000004">
      <c r="A82" s="37" t="s">
        <v>47</v>
      </c>
      <c r="C82" s="42"/>
      <c r="AM82" s="37" t="s">
        <v>10</v>
      </c>
    </row>
    <row r="83" spans="1:39" x14ac:dyDescent="0.55000000000000004">
      <c r="C83" s="10"/>
      <c r="AJ83" s="37" t="s">
        <v>10</v>
      </c>
    </row>
    <row r="84" spans="1:39" x14ac:dyDescent="0.55000000000000004">
      <c r="A84" s="208" t="s">
        <v>42</v>
      </c>
      <c r="B84" s="208"/>
      <c r="C84" s="208"/>
      <c r="D84" s="208"/>
      <c r="E84" s="208"/>
      <c r="F84" s="208"/>
      <c r="G84" s="208"/>
      <c r="H84" s="208"/>
      <c r="I84" s="208"/>
      <c r="J84" s="208"/>
      <c r="K84" s="208"/>
      <c r="L84" s="208"/>
      <c r="M84" s="208"/>
      <c r="N84" s="7"/>
      <c r="AJ84" s="37" t="s">
        <v>10</v>
      </c>
    </row>
    <row r="85" spans="1:39" x14ac:dyDescent="0.55000000000000004">
      <c r="A85" s="1" t="s">
        <v>169</v>
      </c>
      <c r="F85" s="3" t="str">
        <f>IF(F91&gt;0,"Tier 5",IF(F90&gt;0,"Tier 4"," "))</f>
        <v xml:space="preserve"> </v>
      </c>
      <c r="G85" s="3" t="str">
        <f t="shared" ref="G85:Q85" si="180">IF(G91&gt;0,"Tier 5",IF(G90&gt;0,"Tier 4"," "))</f>
        <v xml:space="preserve"> </v>
      </c>
      <c r="H85" s="3" t="str">
        <f t="shared" si="180"/>
        <v xml:space="preserve"> </v>
      </c>
      <c r="I85" s="3" t="str">
        <f t="shared" si="180"/>
        <v xml:space="preserve"> </v>
      </c>
      <c r="J85" s="3" t="str">
        <f t="shared" si="180"/>
        <v xml:space="preserve"> </v>
      </c>
      <c r="K85" s="3" t="str">
        <f t="shared" si="180"/>
        <v xml:space="preserve"> </v>
      </c>
      <c r="L85" s="3" t="str">
        <f t="shared" si="180"/>
        <v xml:space="preserve"> </v>
      </c>
      <c r="M85" s="3" t="str">
        <f t="shared" si="180"/>
        <v xml:space="preserve"> </v>
      </c>
      <c r="N85" s="3" t="str">
        <f t="shared" si="180"/>
        <v xml:space="preserve"> </v>
      </c>
      <c r="O85" s="3" t="str">
        <f t="shared" si="180"/>
        <v xml:space="preserve"> </v>
      </c>
      <c r="P85" s="3" t="str">
        <f t="shared" si="180"/>
        <v xml:space="preserve"> </v>
      </c>
      <c r="Q85" s="3" t="str">
        <f t="shared" si="180"/>
        <v xml:space="preserve"> </v>
      </c>
      <c r="AJ85" s="37" t="s">
        <v>10</v>
      </c>
    </row>
    <row r="86" spans="1:39" x14ac:dyDescent="0.55000000000000004">
      <c r="A86" s="48" t="s">
        <v>250</v>
      </c>
      <c r="B86" s="48" t="s">
        <v>250</v>
      </c>
      <c r="C86" t="s">
        <v>26</v>
      </c>
      <c r="F86" s="3" t="str">
        <f>CONCATENATE("January"," ",$B$9)</f>
        <v>January 2022</v>
      </c>
      <c r="G86" s="3" t="str">
        <f>CONCATENATE("February"," ",$B$9)</f>
        <v>February 2022</v>
      </c>
      <c r="H86" s="3" t="str">
        <f>CONCATENATE("March"," ",$B$9)</f>
        <v>March 2022</v>
      </c>
      <c r="I86" s="3" t="str">
        <f>CONCATENATE("April"," ",$B$9)</f>
        <v>April 2022</v>
      </c>
      <c r="J86" s="3" t="str">
        <f>CONCATENATE("May"," ",$B$9)</f>
        <v>May 2022</v>
      </c>
      <c r="K86" s="3" t="str">
        <f>CONCATENATE("June"," ",$B$9)</f>
        <v>June 2022</v>
      </c>
      <c r="L86" s="3" t="str">
        <f>CONCATENATE("July"," ",$B$9)</f>
        <v>July 2022</v>
      </c>
      <c r="M86" s="3" t="str">
        <f>CONCATENATE("August"," ",$B$9)</f>
        <v>August 2022</v>
      </c>
      <c r="N86" s="3" t="str">
        <f>CONCATENATE("September"," ",$B$9)</f>
        <v>September 2022</v>
      </c>
      <c r="O86" s="3" t="str">
        <f>CONCATENATE("October"," ",$B$9)</f>
        <v>October 2022</v>
      </c>
      <c r="P86" s="3" t="str">
        <f>CONCATENATE("November"," ",$B$9)</f>
        <v>November 2022</v>
      </c>
      <c r="Q86" s="3" t="str">
        <f>CONCATENATE("December"," ",$B$9)</f>
        <v>December 2022</v>
      </c>
      <c r="AJ86" s="37" t="s">
        <v>10</v>
      </c>
    </row>
    <row r="87" spans="1:39" x14ac:dyDescent="0.55000000000000004">
      <c r="A87" s="48" t="s">
        <v>250</v>
      </c>
      <c r="B87" s="48" t="s">
        <v>50</v>
      </c>
      <c r="C87" t="s">
        <v>27</v>
      </c>
      <c r="E87" t="str">
        <f>A14</f>
        <v>Tier 1</v>
      </c>
      <c r="F87" s="3">
        <f t="shared" ref="F87:Q91" si="181">INDEX($C$14:$AL$18,MATCH($E87,$A$14:$A$18,0),MATCH(F$86,$C$13:$AL$13,0))</f>
        <v>3</v>
      </c>
      <c r="G87" s="3">
        <f t="shared" si="181"/>
        <v>3</v>
      </c>
      <c r="H87" s="3">
        <f t="shared" si="181"/>
        <v>3</v>
      </c>
      <c r="I87" s="3">
        <f t="shared" si="181"/>
        <v>3</v>
      </c>
      <c r="J87" s="3">
        <f t="shared" si="181"/>
        <v>3</v>
      </c>
      <c r="K87" s="3">
        <f t="shared" si="181"/>
        <v>3</v>
      </c>
      <c r="L87" s="3">
        <f t="shared" si="181"/>
        <v>3</v>
      </c>
      <c r="M87" s="3">
        <f t="shared" si="181"/>
        <v>3</v>
      </c>
      <c r="N87" s="3">
        <f t="shared" si="181"/>
        <v>3</v>
      </c>
      <c r="O87" s="3">
        <f t="shared" si="181"/>
        <v>3</v>
      </c>
      <c r="P87" s="3">
        <f t="shared" si="181"/>
        <v>6</v>
      </c>
      <c r="Q87" s="3">
        <f t="shared" si="181"/>
        <v>6</v>
      </c>
      <c r="R87" t="s">
        <v>192</v>
      </c>
      <c r="AJ87" s="37" t="s">
        <v>10</v>
      </c>
    </row>
    <row r="88" spans="1:39" x14ac:dyDescent="0.55000000000000004">
      <c r="A88" s="48" t="s">
        <v>250</v>
      </c>
      <c r="B88" s="48" t="s">
        <v>50</v>
      </c>
      <c r="E88" t="str">
        <f>A15</f>
        <v>Tier 2</v>
      </c>
      <c r="F88" s="3">
        <f t="shared" si="181"/>
        <v>15</v>
      </c>
      <c r="G88" s="3">
        <f t="shared" si="181"/>
        <v>15</v>
      </c>
      <c r="H88" s="3">
        <f t="shared" si="181"/>
        <v>15</v>
      </c>
      <c r="I88" s="3">
        <f t="shared" si="181"/>
        <v>15</v>
      </c>
      <c r="J88" s="3">
        <f t="shared" si="181"/>
        <v>15</v>
      </c>
      <c r="K88" s="3">
        <f t="shared" si="181"/>
        <v>15</v>
      </c>
      <c r="L88" s="3">
        <f t="shared" si="181"/>
        <v>15</v>
      </c>
      <c r="M88" s="3">
        <f t="shared" si="181"/>
        <v>15</v>
      </c>
      <c r="N88" s="3">
        <f t="shared" si="181"/>
        <v>15</v>
      </c>
      <c r="O88" s="3">
        <f t="shared" si="181"/>
        <v>15</v>
      </c>
      <c r="P88" s="3">
        <f t="shared" si="181"/>
        <v>6</v>
      </c>
      <c r="Q88" s="3">
        <f t="shared" si="181"/>
        <v>6</v>
      </c>
      <c r="R88" t="s">
        <v>193</v>
      </c>
      <c r="AJ88" s="37" t="s">
        <v>10</v>
      </c>
    </row>
    <row r="89" spans="1:39" x14ac:dyDescent="0.55000000000000004">
      <c r="A89" s="48" t="s">
        <v>250</v>
      </c>
      <c r="B89" s="48" t="s">
        <v>50</v>
      </c>
      <c r="E89" t="str">
        <f>A16</f>
        <v>Tier 3</v>
      </c>
      <c r="F89" s="3">
        <f t="shared" si="181"/>
        <v>18</v>
      </c>
      <c r="G89" s="3">
        <f t="shared" si="181"/>
        <v>18</v>
      </c>
      <c r="H89" s="3">
        <f t="shared" si="181"/>
        <v>18</v>
      </c>
      <c r="I89" s="3">
        <f t="shared" si="181"/>
        <v>18</v>
      </c>
      <c r="J89" s="3">
        <f t="shared" si="181"/>
        <v>18</v>
      </c>
      <c r="K89" s="3">
        <f t="shared" si="181"/>
        <v>18</v>
      </c>
      <c r="L89" s="3">
        <f t="shared" si="181"/>
        <v>18</v>
      </c>
      <c r="M89" s="3">
        <f t="shared" si="181"/>
        <v>18</v>
      </c>
      <c r="N89" s="3">
        <f t="shared" si="181"/>
        <v>18</v>
      </c>
      <c r="O89" s="3">
        <f t="shared" si="181"/>
        <v>18</v>
      </c>
      <c r="P89" s="3">
        <f t="shared" si="181"/>
        <v>12</v>
      </c>
      <c r="Q89" s="3">
        <f t="shared" si="181"/>
        <v>12</v>
      </c>
      <c r="R89" t="s">
        <v>194</v>
      </c>
      <c r="AJ89" s="37" t="s">
        <v>10</v>
      </c>
    </row>
    <row r="90" spans="1:39" x14ac:dyDescent="0.55000000000000004">
      <c r="A90" s="48" t="s">
        <v>250</v>
      </c>
      <c r="B90" s="48" t="s">
        <v>50</v>
      </c>
      <c r="C90" t="s">
        <v>24</v>
      </c>
      <c r="E90" t="str">
        <f>A17</f>
        <v>Tier 4</v>
      </c>
      <c r="F90" s="3">
        <f t="shared" si="181"/>
        <v>0</v>
      </c>
      <c r="G90" s="3">
        <f t="shared" si="181"/>
        <v>0</v>
      </c>
      <c r="H90" s="3">
        <f t="shared" si="181"/>
        <v>0</v>
      </c>
      <c r="I90" s="3">
        <f t="shared" si="181"/>
        <v>0</v>
      </c>
      <c r="J90" s="3">
        <f t="shared" si="181"/>
        <v>0</v>
      </c>
      <c r="K90" s="3">
        <f t="shared" si="181"/>
        <v>0</v>
      </c>
      <c r="L90" s="3">
        <f t="shared" si="181"/>
        <v>0</v>
      </c>
      <c r="M90" s="3">
        <f t="shared" si="181"/>
        <v>0</v>
      </c>
      <c r="N90" s="3">
        <f t="shared" si="181"/>
        <v>0</v>
      </c>
      <c r="O90" s="3">
        <f t="shared" si="181"/>
        <v>0</v>
      </c>
      <c r="P90" s="3">
        <f t="shared" si="181"/>
        <v>0</v>
      </c>
      <c r="Q90" s="3">
        <f t="shared" si="181"/>
        <v>0</v>
      </c>
      <c r="R90" t="s">
        <v>195</v>
      </c>
      <c r="AJ90" s="37" t="s">
        <v>10</v>
      </c>
    </row>
    <row r="91" spans="1:39" x14ac:dyDescent="0.55000000000000004">
      <c r="A91" s="48" t="s">
        <v>250</v>
      </c>
      <c r="B91" s="48" t="s">
        <v>50</v>
      </c>
      <c r="C91" t="s">
        <v>25</v>
      </c>
      <c r="E91" t="str">
        <f>A18</f>
        <v>Tier 5</v>
      </c>
      <c r="F91" s="3">
        <f t="shared" si="181"/>
        <v>0</v>
      </c>
      <c r="G91" s="3">
        <f t="shared" si="181"/>
        <v>0</v>
      </c>
      <c r="H91" s="3">
        <f t="shared" si="181"/>
        <v>0</v>
      </c>
      <c r="I91" s="3">
        <f t="shared" si="181"/>
        <v>0</v>
      </c>
      <c r="J91" s="3">
        <f t="shared" si="181"/>
        <v>0</v>
      </c>
      <c r="K91" s="3">
        <f t="shared" si="181"/>
        <v>0</v>
      </c>
      <c r="L91" s="3">
        <f t="shared" si="181"/>
        <v>0</v>
      </c>
      <c r="M91" s="3">
        <f t="shared" si="181"/>
        <v>0</v>
      </c>
      <c r="N91" s="3">
        <f t="shared" si="181"/>
        <v>0</v>
      </c>
      <c r="O91" s="3">
        <f t="shared" si="181"/>
        <v>0</v>
      </c>
      <c r="P91" s="3">
        <f t="shared" si="181"/>
        <v>0</v>
      </c>
      <c r="Q91" s="3">
        <f t="shared" si="181"/>
        <v>0</v>
      </c>
      <c r="R91" t="s">
        <v>196</v>
      </c>
    </row>
    <row r="92" spans="1:39" x14ac:dyDescent="0.55000000000000004">
      <c r="A92" s="48" t="s">
        <v>250</v>
      </c>
      <c r="B92" s="48" t="s">
        <v>50</v>
      </c>
      <c r="F92" s="3" t="str">
        <f>IF(F98&gt;0,"Tier 5",IF(F97&gt;0,"Tier 4"," "))</f>
        <v xml:space="preserve"> </v>
      </c>
      <c r="G92" s="3" t="str">
        <f t="shared" ref="G92:Q92" si="182">IF(G98&gt;0,"Tier 5",IF(G97&gt;0,"Tier 4"," "))</f>
        <v xml:space="preserve"> </v>
      </c>
      <c r="H92" s="3" t="str">
        <f t="shared" si="182"/>
        <v xml:space="preserve"> </v>
      </c>
      <c r="I92" s="3" t="str">
        <f t="shared" si="182"/>
        <v xml:space="preserve"> </v>
      </c>
      <c r="J92" s="3" t="str">
        <f t="shared" si="182"/>
        <v xml:space="preserve"> </v>
      </c>
      <c r="K92" s="3" t="str">
        <f t="shared" si="182"/>
        <v xml:space="preserve"> </v>
      </c>
      <c r="L92" s="3" t="str">
        <f t="shared" si="182"/>
        <v xml:space="preserve"> </v>
      </c>
      <c r="M92" s="3" t="str">
        <f t="shared" si="182"/>
        <v xml:space="preserve"> </v>
      </c>
      <c r="N92" s="3" t="str">
        <f t="shared" si="182"/>
        <v xml:space="preserve"> </v>
      </c>
      <c r="O92" s="3" t="str">
        <f t="shared" si="182"/>
        <v xml:space="preserve"> </v>
      </c>
      <c r="P92" s="3" t="str">
        <f t="shared" si="182"/>
        <v xml:space="preserve"> </v>
      </c>
      <c r="Q92" s="3" t="str">
        <f t="shared" si="182"/>
        <v xml:space="preserve"> </v>
      </c>
      <c r="R92" t="s">
        <v>214</v>
      </c>
      <c r="S92" t="s">
        <v>213</v>
      </c>
    </row>
    <row r="93" spans="1:39" x14ac:dyDescent="0.55000000000000004">
      <c r="A93" s="48" t="s">
        <v>250</v>
      </c>
      <c r="B93" s="48" t="s">
        <v>50</v>
      </c>
      <c r="C93" t="s">
        <v>38</v>
      </c>
      <c r="F93" s="3" t="str">
        <f>CONCATENATE("January"," ",$B$10)</f>
        <v>January 2023</v>
      </c>
      <c r="G93" s="3" t="str">
        <f>CONCATENATE("February"," ",$B$10)</f>
        <v>February 2023</v>
      </c>
      <c r="H93" s="3" t="str">
        <f>CONCATENATE("March"," ",$B$10)</f>
        <v>March 2023</v>
      </c>
      <c r="I93" s="3" t="str">
        <f>CONCATENATE("April"," ",$B$10)</f>
        <v>April 2023</v>
      </c>
      <c r="J93" s="3" t="str">
        <f>CONCATENATE("May"," ",$B$10)</f>
        <v>May 2023</v>
      </c>
      <c r="K93" s="3" t="str">
        <f>CONCATENATE("June"," ",$B$10)</f>
        <v>June 2023</v>
      </c>
      <c r="L93" s="3" t="str">
        <f>CONCATENATE("July"," ",$B$10)</f>
        <v>July 2023</v>
      </c>
      <c r="M93" s="3" t="str">
        <f>CONCATENATE("August"," ",$B$10)</f>
        <v>August 2023</v>
      </c>
      <c r="N93" s="3" t="str">
        <f>CONCATENATE("September"," ",$B$10)</f>
        <v>September 2023</v>
      </c>
      <c r="O93" s="3" t="str">
        <f>CONCATENATE("October"," ",$B$10)</f>
        <v>October 2023</v>
      </c>
      <c r="P93" s="3" t="str">
        <f>CONCATENATE("November"," ",$B$10)</f>
        <v>November 2023</v>
      </c>
      <c r="Q93" s="3" t="str">
        <f>CONCATENATE("December"," ",$B$10)</f>
        <v>December 2023</v>
      </c>
    </row>
    <row r="94" spans="1:39" x14ac:dyDescent="0.55000000000000004">
      <c r="A94" s="48" t="s">
        <v>250</v>
      </c>
      <c r="B94" s="48" t="s">
        <v>50</v>
      </c>
      <c r="C94" t="s">
        <v>43</v>
      </c>
      <c r="E94" t="str">
        <f>E87</f>
        <v>Tier 1</v>
      </c>
      <c r="F94" s="3">
        <f>INDEX($C$14:$AL$18,MATCH($E94,$A$14:$A$18,0),MATCH(F$93,$C$13:$AL$13,0))</f>
        <v>6</v>
      </c>
      <c r="G94" s="3">
        <f t="shared" ref="G94:Q96" si="183">INDEX($C$14:$AL$18,MATCH($E94,$A$14:$A$18,0),MATCH(G$93,$C$13:$AL$13,0))</f>
        <v>6</v>
      </c>
      <c r="H94" s="3">
        <f t="shared" si="183"/>
        <v>6</v>
      </c>
      <c r="I94" s="3">
        <f t="shared" si="183"/>
        <v>6</v>
      </c>
      <c r="J94" s="3">
        <f t="shared" si="183"/>
        <v>6</v>
      </c>
      <c r="K94" s="3">
        <f t="shared" si="183"/>
        <v>6</v>
      </c>
      <c r="L94" s="3">
        <f t="shared" si="183"/>
        <v>6</v>
      </c>
      <c r="M94" s="3">
        <f t="shared" si="183"/>
        <v>6</v>
      </c>
      <c r="N94" s="3">
        <f t="shared" si="183"/>
        <v>6</v>
      </c>
      <c r="O94" s="3">
        <f t="shared" si="183"/>
        <v>6</v>
      </c>
      <c r="P94" s="3">
        <f t="shared" si="183"/>
        <v>6</v>
      </c>
      <c r="Q94" s="3">
        <f t="shared" si="183"/>
        <v>6</v>
      </c>
      <c r="R94" t="s">
        <v>197</v>
      </c>
      <c r="S94" t="s">
        <v>192</v>
      </c>
    </row>
    <row r="95" spans="1:39" x14ac:dyDescent="0.55000000000000004">
      <c r="A95" s="48" t="s">
        <v>250</v>
      </c>
      <c r="B95" s="48" t="s">
        <v>50</v>
      </c>
      <c r="C95" t="s">
        <v>154</v>
      </c>
      <c r="E95" t="str">
        <f t="shared" ref="E95:E98" si="184">E88</f>
        <v>Tier 2</v>
      </c>
      <c r="F95" s="3">
        <f>INDEX($C$14:$AL$18,MATCH($E95,$A$14:$A$18,0),MATCH(F$93,$C$13:$AL$13,0))</f>
        <v>6</v>
      </c>
      <c r="G95" s="3">
        <f t="shared" si="183"/>
        <v>6</v>
      </c>
      <c r="H95" s="3">
        <f t="shared" si="183"/>
        <v>6</v>
      </c>
      <c r="I95" s="3">
        <f t="shared" si="183"/>
        <v>6</v>
      </c>
      <c r="J95" s="3">
        <f t="shared" si="183"/>
        <v>6</v>
      </c>
      <c r="K95" s="3">
        <f t="shared" si="183"/>
        <v>6</v>
      </c>
      <c r="L95" s="3">
        <f t="shared" si="183"/>
        <v>6</v>
      </c>
      <c r="M95" s="3">
        <f t="shared" si="183"/>
        <v>6</v>
      </c>
      <c r="N95" s="3">
        <f t="shared" si="183"/>
        <v>6</v>
      </c>
      <c r="O95" s="3">
        <f t="shared" si="183"/>
        <v>6</v>
      </c>
      <c r="P95" s="3">
        <f t="shared" si="183"/>
        <v>6</v>
      </c>
      <c r="Q95" s="3">
        <f t="shared" si="183"/>
        <v>6</v>
      </c>
      <c r="R95" t="s">
        <v>198</v>
      </c>
      <c r="S95" t="s">
        <v>193</v>
      </c>
    </row>
    <row r="96" spans="1:39" x14ac:dyDescent="0.55000000000000004">
      <c r="A96" s="48" t="s">
        <v>250</v>
      </c>
      <c r="B96" s="48" t="s">
        <v>50</v>
      </c>
      <c r="E96" t="str">
        <f t="shared" si="184"/>
        <v>Tier 3</v>
      </c>
      <c r="F96" s="3">
        <f>INDEX($C$14:$AL$18,MATCH($E96,$A$14:$A$18,0),MATCH(F$93,$C$13:$AL$13,0))</f>
        <v>12</v>
      </c>
      <c r="G96" s="3">
        <f t="shared" si="183"/>
        <v>12</v>
      </c>
      <c r="H96" s="3">
        <f t="shared" si="183"/>
        <v>12</v>
      </c>
      <c r="I96" s="3">
        <f t="shared" si="183"/>
        <v>12</v>
      </c>
      <c r="J96" s="3">
        <f t="shared" si="183"/>
        <v>12</v>
      </c>
      <c r="K96" s="3">
        <f t="shared" si="183"/>
        <v>12</v>
      </c>
      <c r="L96" s="3">
        <f t="shared" si="183"/>
        <v>12</v>
      </c>
      <c r="M96" s="3">
        <f t="shared" si="183"/>
        <v>12</v>
      </c>
      <c r="N96" s="3">
        <f t="shared" si="183"/>
        <v>12</v>
      </c>
      <c r="O96" s="3">
        <f t="shared" si="183"/>
        <v>12</v>
      </c>
      <c r="P96" s="3">
        <f t="shared" si="183"/>
        <v>12</v>
      </c>
      <c r="Q96" s="3">
        <f t="shared" si="183"/>
        <v>12</v>
      </c>
      <c r="R96" t="s">
        <v>199</v>
      </c>
      <c r="S96" t="s">
        <v>194</v>
      </c>
    </row>
    <row r="97" spans="1:19" x14ac:dyDescent="0.55000000000000004">
      <c r="A97" s="48" t="s">
        <v>250</v>
      </c>
      <c r="B97" s="48" t="s">
        <v>50</v>
      </c>
      <c r="C97" t="s">
        <v>70</v>
      </c>
      <c r="E97" t="str">
        <f t="shared" si="184"/>
        <v>Tier 4</v>
      </c>
      <c r="F97" s="3">
        <f t="shared" ref="F97:Q98" si="185">INDEX($C$14:$AL$18,MATCH($E97,$A$14:$A$18,0),MATCH(F$93,$C$13:$AL$13,0))</f>
        <v>0</v>
      </c>
      <c r="G97" s="3">
        <f t="shared" si="185"/>
        <v>0</v>
      </c>
      <c r="H97" s="3">
        <f t="shared" si="185"/>
        <v>0</v>
      </c>
      <c r="I97" s="3">
        <f t="shared" si="185"/>
        <v>0</v>
      </c>
      <c r="J97" s="3">
        <f t="shared" si="185"/>
        <v>0</v>
      </c>
      <c r="K97" s="3">
        <f t="shared" si="185"/>
        <v>0</v>
      </c>
      <c r="L97" s="3">
        <f t="shared" si="185"/>
        <v>0</v>
      </c>
      <c r="M97" s="3">
        <f t="shared" si="185"/>
        <v>0</v>
      </c>
      <c r="N97" s="3">
        <f t="shared" si="185"/>
        <v>0</v>
      </c>
      <c r="O97" s="3">
        <f t="shared" si="185"/>
        <v>0</v>
      </c>
      <c r="P97" s="3">
        <f t="shared" si="185"/>
        <v>0</v>
      </c>
      <c r="Q97" s="3">
        <f t="shared" si="185"/>
        <v>0</v>
      </c>
      <c r="R97" t="s">
        <v>200</v>
      </c>
      <c r="S97" t="s">
        <v>195</v>
      </c>
    </row>
    <row r="98" spans="1:19" x14ac:dyDescent="0.55000000000000004">
      <c r="C98" t="s">
        <v>71</v>
      </c>
      <c r="E98" t="str">
        <f t="shared" si="184"/>
        <v>Tier 5</v>
      </c>
      <c r="F98" s="3">
        <f t="shared" si="185"/>
        <v>0</v>
      </c>
      <c r="G98" s="3">
        <f t="shared" si="185"/>
        <v>0</v>
      </c>
      <c r="H98" s="3">
        <f t="shared" si="185"/>
        <v>0</v>
      </c>
      <c r="I98" s="3">
        <f t="shared" si="185"/>
        <v>0</v>
      </c>
      <c r="J98" s="3">
        <f t="shared" si="185"/>
        <v>0</v>
      </c>
      <c r="K98" s="3">
        <f t="shared" si="185"/>
        <v>0</v>
      </c>
      <c r="L98" s="3">
        <f t="shared" si="185"/>
        <v>0</v>
      </c>
      <c r="M98" s="3">
        <f t="shared" si="185"/>
        <v>0</v>
      </c>
      <c r="N98" s="3">
        <f t="shared" si="185"/>
        <v>0</v>
      </c>
      <c r="O98" s="3">
        <f t="shared" si="185"/>
        <v>0</v>
      </c>
      <c r="P98" s="3">
        <f t="shared" si="185"/>
        <v>0</v>
      </c>
      <c r="Q98" s="3">
        <f t="shared" si="185"/>
        <v>0</v>
      </c>
      <c r="R98" t="s">
        <v>201</v>
      </c>
      <c r="S98" t="s">
        <v>196</v>
      </c>
    </row>
    <row r="99" spans="1:19" x14ac:dyDescent="0.55000000000000004">
      <c r="C99" t="s">
        <v>72</v>
      </c>
      <c r="F99" s="3" t="str">
        <f>IF(F105&gt;0,"Tier 5",IF(F104&gt;0,"Tier 4"," "))</f>
        <v xml:space="preserve"> </v>
      </c>
      <c r="G99" s="3" t="str">
        <f t="shared" ref="G99:Q99" si="186">IF(G105&gt;0,"Tier 5",IF(G104&gt;0,"Tier 4"," "))</f>
        <v xml:space="preserve"> </v>
      </c>
      <c r="H99" s="3" t="str">
        <f t="shared" si="186"/>
        <v xml:space="preserve"> </v>
      </c>
      <c r="I99" s="3" t="str">
        <f t="shared" si="186"/>
        <v xml:space="preserve"> </v>
      </c>
      <c r="J99" s="3" t="str">
        <f t="shared" si="186"/>
        <v xml:space="preserve"> </v>
      </c>
      <c r="K99" s="3" t="str">
        <f t="shared" si="186"/>
        <v xml:space="preserve"> </v>
      </c>
      <c r="L99" s="3" t="str">
        <f t="shared" si="186"/>
        <v xml:space="preserve"> </v>
      </c>
      <c r="M99" s="3" t="str">
        <f t="shared" si="186"/>
        <v xml:space="preserve"> </v>
      </c>
      <c r="N99" s="3" t="str">
        <f t="shared" si="186"/>
        <v xml:space="preserve"> </v>
      </c>
      <c r="O99" s="3" t="str">
        <f t="shared" si="186"/>
        <v xml:space="preserve"> </v>
      </c>
      <c r="P99" s="3" t="str">
        <f t="shared" si="186"/>
        <v xml:space="preserve"> </v>
      </c>
      <c r="Q99" s="3" t="str">
        <f t="shared" si="186"/>
        <v xml:space="preserve"> </v>
      </c>
      <c r="R99" t="s">
        <v>215</v>
      </c>
      <c r="S99" t="s">
        <v>213</v>
      </c>
    </row>
    <row r="100" spans="1:19" x14ac:dyDescent="0.55000000000000004">
      <c r="C100" t="s">
        <v>73</v>
      </c>
      <c r="F100" s="3" t="str">
        <f>CONCATENATE("January"," ",$B$11)</f>
        <v>January 2024</v>
      </c>
      <c r="G100" s="3" t="str">
        <f>CONCATENATE("February"," ",$B$11)</f>
        <v>February 2024</v>
      </c>
      <c r="H100" s="3" t="str">
        <f>CONCATENATE("March"," ",$B$11)</f>
        <v>March 2024</v>
      </c>
      <c r="I100" s="3" t="str">
        <f>CONCATENATE("April"," ",$B$11)</f>
        <v>April 2024</v>
      </c>
      <c r="J100" s="3" t="str">
        <f>CONCATENATE("May"," ",$B$11)</f>
        <v>May 2024</v>
      </c>
      <c r="K100" s="3" t="str">
        <f>CONCATENATE("June"," ",$B$11)</f>
        <v>June 2024</v>
      </c>
      <c r="L100" s="3" t="str">
        <f>CONCATENATE("July"," ",$B$11)</f>
        <v>July 2024</v>
      </c>
      <c r="M100" s="3" t="str">
        <f>CONCATENATE("August"," ",$B$11)</f>
        <v>August 2024</v>
      </c>
      <c r="N100" s="3" t="str">
        <f>CONCATENATE("September"," ",$B$11)</f>
        <v>September 2024</v>
      </c>
      <c r="O100" s="3" t="str">
        <f>CONCATENATE("October"," ",$B$11)</f>
        <v>October 2024</v>
      </c>
      <c r="P100" s="3" t="str">
        <f>CONCATENATE("November"," ",$B$11)</f>
        <v>November 2024</v>
      </c>
      <c r="Q100" s="3" t="str">
        <f>CONCATENATE("December"," ",$B$11)</f>
        <v>December 2024</v>
      </c>
    </row>
    <row r="101" spans="1:19" x14ac:dyDescent="0.55000000000000004">
      <c r="C101" t="s">
        <v>190</v>
      </c>
      <c r="E101" t="str">
        <f>E94</f>
        <v>Tier 1</v>
      </c>
      <c r="F101" s="3">
        <f>INDEX($C$14:$AL$18,MATCH($E101,$A$14:$A$18,0),MATCH(F$100,$C$13:$AL$13,0))</f>
        <v>6</v>
      </c>
      <c r="G101" s="3">
        <f t="shared" ref="G101:Q103" si="187">INDEX($C$14:$AL$18,MATCH($E101,$A$14:$A$18,0),MATCH(G$100,$C$13:$AL$13,0))</f>
        <v>6</v>
      </c>
      <c r="H101" s="3">
        <f t="shared" si="187"/>
        <v>6</v>
      </c>
      <c r="I101" s="3">
        <f t="shared" si="187"/>
        <v>6</v>
      </c>
      <c r="J101" s="3">
        <f t="shared" si="187"/>
        <v>6</v>
      </c>
      <c r="K101" s="3">
        <f t="shared" si="187"/>
        <v>6</v>
      </c>
      <c r="L101" s="3">
        <f t="shared" si="187"/>
        <v>6</v>
      </c>
      <c r="M101" s="3">
        <f t="shared" si="187"/>
        <v>6</v>
      </c>
      <c r="N101" s="3">
        <f t="shared" si="187"/>
        <v>6</v>
      </c>
      <c r="O101" s="3">
        <f t="shared" si="187"/>
        <v>6</v>
      </c>
      <c r="P101" s="3">
        <f t="shared" si="187"/>
        <v>6</v>
      </c>
      <c r="Q101" s="3">
        <f t="shared" si="187"/>
        <v>6</v>
      </c>
      <c r="R101" t="s">
        <v>202</v>
      </c>
      <c r="S101" t="s">
        <v>192</v>
      </c>
    </row>
    <row r="102" spans="1:19" x14ac:dyDescent="0.55000000000000004">
      <c r="C102" t="s">
        <v>171</v>
      </c>
      <c r="E102" t="str">
        <f t="shared" ref="E102:E105" si="188">E95</f>
        <v>Tier 2</v>
      </c>
      <c r="F102" s="3">
        <f>INDEX($C$14:$AL$18,MATCH($E102,$A$14:$A$18,0),MATCH(F$100,$C$13:$AL$13,0))</f>
        <v>6</v>
      </c>
      <c r="G102" s="3">
        <f t="shared" si="187"/>
        <v>6</v>
      </c>
      <c r="H102" s="3">
        <f t="shared" si="187"/>
        <v>6</v>
      </c>
      <c r="I102" s="3">
        <f t="shared" si="187"/>
        <v>6</v>
      </c>
      <c r="J102" s="3">
        <f t="shared" si="187"/>
        <v>6</v>
      </c>
      <c r="K102" s="3">
        <f t="shared" si="187"/>
        <v>6</v>
      </c>
      <c r="L102" s="3">
        <f t="shared" si="187"/>
        <v>6</v>
      </c>
      <c r="M102" s="3">
        <f t="shared" si="187"/>
        <v>6</v>
      </c>
      <c r="N102" s="3">
        <f t="shared" si="187"/>
        <v>6</v>
      </c>
      <c r="O102" s="3">
        <f t="shared" si="187"/>
        <v>6</v>
      </c>
      <c r="P102" s="3">
        <f t="shared" si="187"/>
        <v>6</v>
      </c>
      <c r="Q102" s="3">
        <f t="shared" si="187"/>
        <v>6</v>
      </c>
      <c r="R102" t="s">
        <v>203</v>
      </c>
      <c r="S102" t="s">
        <v>193</v>
      </c>
    </row>
    <row r="103" spans="1:19" x14ac:dyDescent="0.55000000000000004">
      <c r="E103" t="str">
        <f t="shared" si="188"/>
        <v>Tier 3</v>
      </c>
      <c r="F103" s="3">
        <f>INDEX($C$14:$AL$18,MATCH($E103,$A$14:$A$18,0),MATCH(F$100,$C$13:$AL$13,0))</f>
        <v>12</v>
      </c>
      <c r="G103" s="3">
        <f t="shared" si="187"/>
        <v>12</v>
      </c>
      <c r="H103" s="3">
        <f t="shared" si="187"/>
        <v>12</v>
      </c>
      <c r="I103" s="3">
        <f t="shared" si="187"/>
        <v>12</v>
      </c>
      <c r="J103" s="3">
        <f t="shared" si="187"/>
        <v>12</v>
      </c>
      <c r="K103" s="3">
        <f t="shared" si="187"/>
        <v>12</v>
      </c>
      <c r="L103" s="3">
        <f t="shared" si="187"/>
        <v>12</v>
      </c>
      <c r="M103" s="3">
        <f t="shared" si="187"/>
        <v>12</v>
      </c>
      <c r="N103" s="3">
        <f t="shared" si="187"/>
        <v>12</v>
      </c>
      <c r="O103" s="3">
        <f t="shared" si="187"/>
        <v>12</v>
      </c>
      <c r="P103" s="3">
        <f t="shared" si="187"/>
        <v>12</v>
      </c>
      <c r="Q103" s="3">
        <f t="shared" si="187"/>
        <v>12</v>
      </c>
      <c r="R103" t="s">
        <v>204</v>
      </c>
      <c r="S103" t="s">
        <v>194</v>
      </c>
    </row>
    <row r="104" spans="1:19" x14ac:dyDescent="0.55000000000000004">
      <c r="C104" t="s">
        <v>136</v>
      </c>
      <c r="E104" t="str">
        <f t="shared" si="188"/>
        <v>Tier 4</v>
      </c>
      <c r="F104" s="3">
        <f t="shared" ref="F104:Q105" si="189">INDEX($C$14:$AL$18,MATCH($E104,$A$14:$A$18,0),MATCH(F$100,$C$13:$AL$13,0))</f>
        <v>0</v>
      </c>
      <c r="G104" s="3">
        <f t="shared" si="189"/>
        <v>0</v>
      </c>
      <c r="H104" s="3">
        <f t="shared" si="189"/>
        <v>0</v>
      </c>
      <c r="I104" s="3">
        <f t="shared" si="189"/>
        <v>0</v>
      </c>
      <c r="J104" s="3">
        <f t="shared" si="189"/>
        <v>0</v>
      </c>
      <c r="K104" s="3">
        <f t="shared" si="189"/>
        <v>0</v>
      </c>
      <c r="L104" s="3">
        <f t="shared" si="189"/>
        <v>0</v>
      </c>
      <c r="M104" s="3">
        <f t="shared" si="189"/>
        <v>0</v>
      </c>
      <c r="N104" s="3">
        <f t="shared" si="189"/>
        <v>0</v>
      </c>
      <c r="O104" s="3">
        <f t="shared" si="189"/>
        <v>0</v>
      </c>
      <c r="P104" s="3">
        <f t="shared" si="189"/>
        <v>0</v>
      </c>
      <c r="Q104" s="3">
        <f t="shared" si="189"/>
        <v>0</v>
      </c>
      <c r="R104" t="s">
        <v>205</v>
      </c>
      <c r="S104" t="s">
        <v>195</v>
      </c>
    </row>
    <row r="105" spans="1:19" x14ac:dyDescent="0.55000000000000004">
      <c r="C105" t="s">
        <v>40</v>
      </c>
      <c r="E105" t="str">
        <f t="shared" si="188"/>
        <v>Tier 5</v>
      </c>
      <c r="F105" s="3">
        <f t="shared" si="189"/>
        <v>0</v>
      </c>
      <c r="G105" s="3">
        <f t="shared" si="189"/>
        <v>0</v>
      </c>
      <c r="H105" s="3">
        <f t="shared" si="189"/>
        <v>0</v>
      </c>
      <c r="I105" s="3">
        <f t="shared" si="189"/>
        <v>0</v>
      </c>
      <c r="J105" s="3">
        <f t="shared" si="189"/>
        <v>0</v>
      </c>
      <c r="K105" s="3">
        <f t="shared" si="189"/>
        <v>0</v>
      </c>
      <c r="L105" s="3">
        <f t="shared" si="189"/>
        <v>0</v>
      </c>
      <c r="M105" s="3">
        <f t="shared" si="189"/>
        <v>0</v>
      </c>
      <c r="N105" s="3">
        <f t="shared" si="189"/>
        <v>0</v>
      </c>
      <c r="O105" s="3">
        <f t="shared" si="189"/>
        <v>0</v>
      </c>
      <c r="P105" s="3">
        <f t="shared" si="189"/>
        <v>0</v>
      </c>
      <c r="Q105" s="3">
        <f t="shared" si="189"/>
        <v>0</v>
      </c>
      <c r="R105" t="s">
        <v>206</v>
      </c>
      <c r="S105" t="s">
        <v>196</v>
      </c>
    </row>
    <row r="106" spans="1:19" x14ac:dyDescent="0.55000000000000004">
      <c r="F106" s="3" t="str">
        <f>IF(F112&gt;0,"Tier 5",IF(F111&gt;0,"Tier 4"," "))</f>
        <v xml:space="preserve"> </v>
      </c>
      <c r="R106" t="s">
        <v>207</v>
      </c>
      <c r="S106" t="s">
        <v>213</v>
      </c>
    </row>
    <row r="107" spans="1:19" x14ac:dyDescent="0.55000000000000004">
      <c r="B107" t="s">
        <v>133</v>
      </c>
      <c r="C107" t="s">
        <v>88</v>
      </c>
      <c r="F107" s="3" t="str">
        <f>B13</f>
        <v>January 2022</v>
      </c>
    </row>
    <row r="108" spans="1:19" x14ac:dyDescent="0.55000000000000004">
      <c r="B108" t="str">
        <f>CONCATENATE("Average"," ","(",C5," ","CCFS)")</f>
        <v>Average (11 CCFS)</v>
      </c>
      <c r="C108" t="str">
        <f>CONCATENATE("Average"," ","(",D9," ","CCFS)")</f>
        <v>Average (11 CCFS)</v>
      </c>
      <c r="E108" t="str">
        <f>E101</f>
        <v>Tier 1</v>
      </c>
      <c r="F108" s="3">
        <f>INDEX($B$14:$AL$18,MATCH($E108,$A$14:$A$18,0),MATCH(F$107,$B$13:$AL$13,0))</f>
        <v>3</v>
      </c>
      <c r="R108" t="s">
        <v>208</v>
      </c>
      <c r="S108" t="s">
        <v>192</v>
      </c>
    </row>
    <row r="109" spans="1:19" x14ac:dyDescent="0.55000000000000004">
      <c r="B109" t="s">
        <v>134</v>
      </c>
      <c r="C109" t="s">
        <v>134</v>
      </c>
      <c r="E109" t="str">
        <f t="shared" ref="E109:E112" si="190">E102</f>
        <v>Tier 2</v>
      </c>
      <c r="F109" s="3">
        <f>INDEX($B$14:$AL$18,MATCH($E109,$A$14:$A$18,0),MATCH(F$107,$B$13:$AL$13,0))</f>
        <v>15</v>
      </c>
      <c r="R109" t="s">
        <v>209</v>
      </c>
      <c r="S109" t="s">
        <v>193</v>
      </c>
    </row>
    <row r="110" spans="1:19" x14ac:dyDescent="0.55000000000000004">
      <c r="E110" t="str">
        <f t="shared" si="190"/>
        <v>Tier 3</v>
      </c>
      <c r="F110" s="3">
        <f>INDEX($B$14:$AL$18,MATCH($E110,$A$14:$A$18,0),MATCH(F$107,$B$13:$AL$13,0))</f>
        <v>18</v>
      </c>
      <c r="R110" t="s">
        <v>210</v>
      </c>
      <c r="S110" t="s">
        <v>194</v>
      </c>
    </row>
    <row r="111" spans="1:19" x14ac:dyDescent="0.55000000000000004">
      <c r="E111" t="str">
        <f t="shared" si="190"/>
        <v>Tier 4</v>
      </c>
      <c r="F111" s="3">
        <f>INDEX($B$14:$AL$18,MATCH($E111,$A$14:$A$18,0),MATCH(F$107,$B$13:$AL$13,0))</f>
        <v>0</v>
      </c>
      <c r="R111" t="s">
        <v>211</v>
      </c>
      <c r="S111" t="s">
        <v>195</v>
      </c>
    </row>
    <row r="112" spans="1:19" x14ac:dyDescent="0.55000000000000004">
      <c r="E112" t="str">
        <f t="shared" si="190"/>
        <v>Tier 5</v>
      </c>
      <c r="F112" s="3">
        <f>INDEX($B$14:$AL$18,MATCH($E112,$A$14:$A$18,0),MATCH(F$107,$B$13:$AL$13,0))</f>
        <v>0</v>
      </c>
      <c r="R112" t="s">
        <v>212</v>
      </c>
      <c r="S112" t="s">
        <v>196</v>
      </c>
    </row>
    <row r="116" spans="3:3" x14ac:dyDescent="0.55000000000000004">
      <c r="C116" t="s">
        <v>145</v>
      </c>
    </row>
    <row r="117" spans="3:3" x14ac:dyDescent="0.55000000000000004">
      <c r="C117" t="s">
        <v>146</v>
      </c>
    </row>
    <row r="118" spans="3:3" x14ac:dyDescent="0.55000000000000004">
      <c r="C118" t="s">
        <v>147</v>
      </c>
    </row>
  </sheetData>
  <mergeCells count="1">
    <mergeCell ref="A84:M84"/>
  </mergeCells>
  <phoneticPr fontId="10" type="noConversion"/>
  <conditionalFormatting sqref="C46:D58">
    <cfRule type="expression" dxfId="76" priority="50">
      <formula>$B46="Percentage"</formula>
    </cfRule>
  </conditionalFormatting>
  <conditionalFormatting sqref="D46:D58">
    <cfRule type="expression" dxfId="75" priority="48">
      <formula>$B46="Percentage"</formula>
    </cfRule>
  </conditionalFormatting>
  <conditionalFormatting sqref="AB58">
    <cfRule type="expression" dxfId="74" priority="45">
      <formula>$B58="Percentage"</formula>
    </cfRule>
  </conditionalFormatting>
  <conditionalFormatting sqref="AB74">
    <cfRule type="expression" dxfId="73" priority="42">
      <formula>$B74="Percentage"</formula>
    </cfRule>
  </conditionalFormatting>
  <conditionalFormatting sqref="C46:D58">
    <cfRule type="expression" dxfId="72" priority="41">
      <formula>OR($B46="Volumetric",$B46="Fixed")</formula>
    </cfRule>
  </conditionalFormatting>
  <conditionalFormatting sqref="C62:C74">
    <cfRule type="expression" dxfId="71" priority="40">
      <formula>$B62="Percentage"</formula>
    </cfRule>
  </conditionalFormatting>
  <conditionalFormatting sqref="C62:C74">
    <cfRule type="expression" dxfId="70" priority="39">
      <formula>OR($B62="Volumetric",$B62="Fixed")</formula>
    </cfRule>
  </conditionalFormatting>
  <conditionalFormatting sqref="D66:D74">
    <cfRule type="expression" dxfId="69" priority="38">
      <formula>$B66="Percentage"</formula>
    </cfRule>
  </conditionalFormatting>
  <conditionalFormatting sqref="D66:D74">
    <cfRule type="expression" dxfId="68" priority="37">
      <formula>$B66="Percentage"</formula>
    </cfRule>
  </conditionalFormatting>
  <conditionalFormatting sqref="D66:D74">
    <cfRule type="expression" dxfId="67" priority="36">
      <formula>OR($B66="Volumetric",$B66="Fixed")</formula>
    </cfRule>
  </conditionalFormatting>
  <conditionalFormatting sqref="P46:P58">
    <cfRule type="expression" dxfId="1" priority="35">
      <formula>$B46="Percentage"</formula>
    </cfRule>
  </conditionalFormatting>
  <conditionalFormatting sqref="P46:P58">
    <cfRule type="expression" dxfId="66" priority="34">
      <formula>$B46="Percentage"</formula>
    </cfRule>
  </conditionalFormatting>
  <conditionalFormatting sqref="P46:P58">
    <cfRule type="expression" dxfId="0" priority="33">
      <formula>OR($B46="Volumetric",$B46="Fixed")</formula>
    </cfRule>
  </conditionalFormatting>
  <conditionalFormatting sqref="P62:P74">
    <cfRule type="expression" dxfId="65" priority="32">
      <formula>$B62="Percentage"</formula>
    </cfRule>
  </conditionalFormatting>
  <conditionalFormatting sqref="P62:P74">
    <cfRule type="expression" dxfId="64" priority="31">
      <formula>$B62="Percentage"</formula>
    </cfRule>
  </conditionalFormatting>
  <conditionalFormatting sqref="P62:P74">
    <cfRule type="expression" dxfId="63" priority="30">
      <formula>OR($B62="Volumetric",$B62="Fixed")</formula>
    </cfRule>
  </conditionalFormatting>
  <conditionalFormatting sqref="E46:O58">
    <cfRule type="expression" dxfId="62" priority="29">
      <formula>$B46="Percentage"</formula>
    </cfRule>
  </conditionalFormatting>
  <conditionalFormatting sqref="E46:O58">
    <cfRule type="expression" dxfId="61" priority="28">
      <formula>$B46="Percentage"</formula>
    </cfRule>
  </conditionalFormatting>
  <conditionalFormatting sqref="E46:O58">
    <cfRule type="expression" dxfId="60" priority="27">
      <formula>OR($B46="Volumetric",$B46="Fixed")</formula>
    </cfRule>
  </conditionalFormatting>
  <conditionalFormatting sqref="Q46:AA58">
    <cfRule type="expression" dxfId="59" priority="26">
      <formula>$B46="Percentage"</formula>
    </cfRule>
  </conditionalFormatting>
  <conditionalFormatting sqref="Q46:AA58">
    <cfRule type="expression" dxfId="58" priority="25">
      <formula>$B46="Percentage"</formula>
    </cfRule>
  </conditionalFormatting>
  <conditionalFormatting sqref="Q46:AA58">
    <cfRule type="expression" dxfId="57" priority="24">
      <formula>OR($B46="Volumetric",$B46="Fixed")</formula>
    </cfRule>
  </conditionalFormatting>
  <conditionalFormatting sqref="E62:O74">
    <cfRule type="expression" dxfId="56" priority="23">
      <formula>$B62="Percentage"</formula>
    </cfRule>
  </conditionalFormatting>
  <conditionalFormatting sqref="E62:O74">
    <cfRule type="expression" dxfId="55" priority="22">
      <formula>$B62="Percentage"</formula>
    </cfRule>
  </conditionalFormatting>
  <conditionalFormatting sqref="E62:O74">
    <cfRule type="expression" dxfId="54" priority="21">
      <formula>OR($B62="Volumetric",$B62="Fixed")</formula>
    </cfRule>
  </conditionalFormatting>
  <conditionalFormatting sqref="Q62:AA74">
    <cfRule type="expression" dxfId="53" priority="20">
      <formula>$B62="Percentage"</formula>
    </cfRule>
  </conditionalFormatting>
  <conditionalFormatting sqref="Q62:AA74">
    <cfRule type="expression" dxfId="52" priority="19">
      <formula>$B62="Percentage"</formula>
    </cfRule>
  </conditionalFormatting>
  <conditionalFormatting sqref="Q62:AA74">
    <cfRule type="expression" dxfId="51" priority="18">
      <formula>OR($B62="Volumetric",$B62="Fixed")</formula>
    </cfRule>
  </conditionalFormatting>
  <conditionalFormatting sqref="AC46:AM58">
    <cfRule type="expression" dxfId="50" priority="17">
      <formula>$B46="Percentage"</formula>
    </cfRule>
  </conditionalFormatting>
  <conditionalFormatting sqref="AC46:AM58">
    <cfRule type="expression" dxfId="49" priority="16">
      <formula>$B46="Percentage"</formula>
    </cfRule>
  </conditionalFormatting>
  <conditionalFormatting sqref="AC46:AM58">
    <cfRule type="expression" dxfId="48" priority="15">
      <formula>OR($B46="Volumetric",$B46="Fixed")</formula>
    </cfRule>
  </conditionalFormatting>
  <conditionalFormatting sqref="AC62:AM74">
    <cfRule type="expression" dxfId="47" priority="14">
      <formula>$B62="Percentage"</formula>
    </cfRule>
  </conditionalFormatting>
  <conditionalFormatting sqref="AC62:AM74">
    <cfRule type="expression" dxfId="46" priority="13">
      <formula>$B62="Percentage"</formula>
    </cfRule>
  </conditionalFormatting>
  <conditionalFormatting sqref="AC62:AM74">
    <cfRule type="expression" dxfId="45" priority="12">
      <formula>OR($B62="Volumetric",$B62="Fixed")</formula>
    </cfRule>
  </conditionalFormatting>
  <conditionalFormatting sqref="D62:D64">
    <cfRule type="expression" dxfId="44" priority="11">
      <formula>$B62="Percentage"</formula>
    </cfRule>
  </conditionalFormatting>
  <conditionalFormatting sqref="D62:D64">
    <cfRule type="expression" dxfId="43" priority="10">
      <formula>OR($B62="Volumetric",$B62="Fixed")</formula>
    </cfRule>
  </conditionalFormatting>
  <conditionalFormatting sqref="D65">
    <cfRule type="expression" dxfId="42" priority="9">
      <formula>$B65="Percentage"</formula>
    </cfRule>
  </conditionalFormatting>
  <conditionalFormatting sqref="D65">
    <cfRule type="expression" dxfId="41" priority="8">
      <formula>$B65="Percentage"</formula>
    </cfRule>
  </conditionalFormatting>
  <conditionalFormatting sqref="D65">
    <cfRule type="expression" dxfId="40" priority="7">
      <formula>OR($B65="Volumetric",$B65="Fixed")</formula>
    </cfRule>
  </conditionalFormatting>
  <conditionalFormatting sqref="AB46:AB57">
    <cfRule type="expression" dxfId="39" priority="6">
      <formula>$B46="Percentage"</formula>
    </cfRule>
  </conditionalFormatting>
  <conditionalFormatting sqref="AB46:AB57">
    <cfRule type="expression" dxfId="38" priority="5">
      <formula>$B46="Percentage"</formula>
    </cfRule>
  </conditionalFormatting>
  <conditionalFormatting sqref="AB46:AB57">
    <cfRule type="expression" dxfId="37" priority="4">
      <formula>OR($B46="Volumetric",$B46="Fixed")</formula>
    </cfRule>
  </conditionalFormatting>
  <conditionalFormatting sqref="AB62:AB73">
    <cfRule type="expression" dxfId="36" priority="3">
      <formula>$B62="Percentage"</formula>
    </cfRule>
  </conditionalFormatting>
  <conditionalFormatting sqref="AB62:AB73">
    <cfRule type="expression" dxfId="35" priority="2">
      <formula>$B62="Percentage"</formula>
    </cfRule>
  </conditionalFormatting>
  <conditionalFormatting sqref="AB62:AB73">
    <cfRule type="expression" dxfId="34" priority="1">
      <formula>OR($B62="Volumetric",$B62="Fixed")</formula>
    </cfRule>
  </conditionalFormatting>
  <dataValidations count="2">
    <dataValidation type="list" allowBlank="1" showInputMessage="1" showErrorMessage="1" sqref="B46:B58 B62:B74">
      <formula1>$C$93:$C$95</formula1>
    </dataValidation>
    <dataValidation type="list" allowBlank="1" showInputMessage="1" showErrorMessage="1" sqref="B75">
      <formula1>$C$107:$C$109</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defaultRowHeight="14.4" x14ac:dyDescent="0.5500000000000000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zoomScale="110" zoomScaleNormal="110" workbookViewId="0">
      <pane xSplit="1" ySplit="6" topLeftCell="B7" activePane="bottomRight" state="frozen"/>
      <selection pane="topRight" activeCell="B1" sqref="B1"/>
      <selection pane="bottomLeft" activeCell="A7" sqref="A7"/>
      <selection pane="bottomRight" activeCell="B21" sqref="B21"/>
    </sheetView>
  </sheetViews>
  <sheetFormatPr defaultColWidth="8.68359375" defaultRowHeight="14.4" outlineLevelRow="1" x14ac:dyDescent="0.55000000000000004"/>
  <cols>
    <col min="1" max="1" width="25.83984375" style="17" customWidth="1"/>
    <col min="2" max="3" width="12.83984375" style="17" customWidth="1"/>
    <col min="4" max="4" width="11.68359375" style="17" customWidth="1"/>
    <col min="5" max="6" width="12.83984375" style="17" customWidth="1"/>
    <col min="7" max="7" width="11.68359375" style="17" customWidth="1"/>
    <col min="8" max="10" width="11.83984375" style="17" customWidth="1"/>
    <col min="11" max="18" width="11.68359375" style="17" customWidth="1"/>
    <col min="19" max="16384" width="8.68359375" style="17"/>
  </cols>
  <sheetData>
    <row r="1" spans="1:34" x14ac:dyDescent="0.55000000000000004">
      <c r="A1" s="34" t="s">
        <v>0</v>
      </c>
      <c r="B1" s="34"/>
    </row>
    <row r="2" spans="1:34" x14ac:dyDescent="0.55000000000000004">
      <c r="A2" s="34" t="str">
        <f>Input!A86</f>
        <v>San Jose Water Company</v>
      </c>
      <c r="B2" s="34"/>
    </row>
    <row r="3" spans="1:34" x14ac:dyDescent="0.55000000000000004">
      <c r="A3" s="34"/>
      <c r="B3" s="34"/>
    </row>
    <row r="4" spans="1:34" ht="28.8" x14ac:dyDescent="0.55000000000000004">
      <c r="A4" s="129"/>
      <c r="B4" s="117" t="str">
        <f>CONCATENATE("Average"," ","(",Input!$C$5," ","CCFS)")</f>
        <v>Average (11 CCFS)</v>
      </c>
      <c r="C4" s="117" t="str">
        <f>CONCATENATE("Average"," ","(",Input!$C$5," ","CCFS)")</f>
        <v>Average (11 CCFS)</v>
      </c>
      <c r="D4" s="117" t="str">
        <f>CONCATENATE("Average"," ","(",Input!$C$5," ","CCFS)")</f>
        <v>Average (11 CCFS)</v>
      </c>
      <c r="E4" s="117" t="str">
        <f>CONCATENATE("Average"," ","(",Input!$C$5," ","CCFS)")</f>
        <v>Average (11 CCFS)</v>
      </c>
      <c r="F4" s="117" t="str">
        <f>CONCATENATE("Average"," ","(",Input!$C$5," ","CCFS)")</f>
        <v>Average (11 CCFS)</v>
      </c>
      <c r="G4" s="117" t="str">
        <f>CONCATENATE("Average"," ","(",Input!$C$5," ","CCFS)")</f>
        <v>Average (11 CCFS)</v>
      </c>
      <c r="H4" s="117" t="str">
        <f>CONCATENATE("Average"," ","(",Input!$C$5," ","CCFS)")</f>
        <v>Average (11 CCFS)</v>
      </c>
      <c r="I4" s="117" t="str">
        <f>CONCATENATE("Average"," ","(",Input!$C$5," ","CCFS)")</f>
        <v>Average (11 CCFS)</v>
      </c>
      <c r="J4" s="117" t="str">
        <f>CONCATENATE("Average"," ","(",Input!$D$5," ","CCFS)")</f>
        <v>Average (11 CCFS)</v>
      </c>
      <c r="K4" s="117" t="str">
        <f>CONCATENATE("Average"," ","(",Input!$D$5," ","CCFS)")</f>
        <v>Average (11 CCFS)</v>
      </c>
      <c r="L4" s="117" t="str">
        <f>CONCATENATE("Average"," ","(",Input!$D$5," ","CCFS)")</f>
        <v>Average (11 CCFS)</v>
      </c>
      <c r="M4" s="117" t="str">
        <f>CONCATENATE("Average"," ","(",Input!$D$5," ","CCFS)")</f>
        <v>Average (11 CCFS)</v>
      </c>
      <c r="N4" s="117" t="str">
        <f>CONCATENATE("Average"," ","(",Input!$D$5," ","CCFS)")</f>
        <v>Average (11 CCFS)</v>
      </c>
      <c r="O4" s="117" t="str">
        <f>CONCATENATE("Average"," ","(",Input!$D$5," ","CCFS)")</f>
        <v>Average (11 CCFS)</v>
      </c>
      <c r="P4" s="117" t="str">
        <f>CONCATENATE("Average"," ","(",Input!$D$5," ","CCFS)")</f>
        <v>Average (11 CCFS)</v>
      </c>
      <c r="Q4" s="117" t="str">
        <f>CONCATENATE("Average"," ","(",Input!$D$5," ","CCFS)")</f>
        <v>Average (11 CCFS)</v>
      </c>
      <c r="R4" s="117" t="s">
        <v>134</v>
      </c>
      <c r="S4" s="118" t="s">
        <v>134</v>
      </c>
      <c r="T4" s="118" t="s">
        <v>134</v>
      </c>
      <c r="U4" s="119" t="s">
        <v>134</v>
      </c>
      <c r="V4" s="117" t="s">
        <v>134</v>
      </c>
      <c r="W4" s="118" t="s">
        <v>134</v>
      </c>
      <c r="X4" s="118" t="s">
        <v>134</v>
      </c>
      <c r="Y4" s="119" t="s">
        <v>134</v>
      </c>
      <c r="Z4" s="117" t="s">
        <v>134</v>
      </c>
      <c r="AA4" s="118" t="s">
        <v>134</v>
      </c>
      <c r="AB4" s="118" t="s">
        <v>134</v>
      </c>
      <c r="AC4" s="119" t="s">
        <v>134</v>
      </c>
      <c r="AD4" s="117" t="s">
        <v>134</v>
      </c>
      <c r="AE4" s="118" t="s">
        <v>134</v>
      </c>
      <c r="AF4" s="118" t="s">
        <v>134</v>
      </c>
      <c r="AG4" s="119" t="s">
        <v>134</v>
      </c>
      <c r="AH4" s="114"/>
    </row>
    <row r="5" spans="1:34" x14ac:dyDescent="0.55000000000000004">
      <c r="A5" s="141"/>
      <c r="B5" s="142" t="s">
        <v>136</v>
      </c>
      <c r="C5" s="112" t="s">
        <v>136</v>
      </c>
      <c r="D5" s="112" t="s">
        <v>136</v>
      </c>
      <c r="E5" s="143" t="s">
        <v>136</v>
      </c>
      <c r="F5" s="142" t="s">
        <v>40</v>
      </c>
      <c r="G5" s="112" t="s">
        <v>40</v>
      </c>
      <c r="H5" s="112" t="s">
        <v>40</v>
      </c>
      <c r="I5" s="143" t="s">
        <v>40</v>
      </c>
      <c r="J5" s="142" t="s">
        <v>136</v>
      </c>
      <c r="K5" s="112" t="s">
        <v>136</v>
      </c>
      <c r="L5" s="112" t="s">
        <v>136</v>
      </c>
      <c r="M5" s="143" t="s">
        <v>136</v>
      </c>
      <c r="N5" s="142" t="s">
        <v>40</v>
      </c>
      <c r="O5" s="112" t="s">
        <v>40</v>
      </c>
      <c r="P5" s="112" t="s">
        <v>40</v>
      </c>
      <c r="Q5" s="143" t="s">
        <v>40</v>
      </c>
      <c r="R5" s="142" t="s">
        <v>136</v>
      </c>
      <c r="S5" s="112" t="s">
        <v>136</v>
      </c>
      <c r="T5" s="112" t="s">
        <v>136</v>
      </c>
      <c r="U5" s="143" t="s">
        <v>136</v>
      </c>
      <c r="V5" s="142" t="s">
        <v>40</v>
      </c>
      <c r="W5" s="112" t="s">
        <v>40</v>
      </c>
      <c r="X5" s="112" t="s">
        <v>40</v>
      </c>
      <c r="Y5" s="143" t="s">
        <v>40</v>
      </c>
      <c r="Z5" s="142" t="s">
        <v>136</v>
      </c>
      <c r="AA5" s="112" t="s">
        <v>136</v>
      </c>
      <c r="AB5" s="112" t="s">
        <v>136</v>
      </c>
      <c r="AC5" s="143" t="s">
        <v>136</v>
      </c>
      <c r="AD5" s="142" t="s">
        <v>40</v>
      </c>
      <c r="AE5" s="112" t="s">
        <v>40</v>
      </c>
      <c r="AF5" s="112" t="s">
        <v>40</v>
      </c>
      <c r="AG5" s="143" t="s">
        <v>40</v>
      </c>
      <c r="AH5" s="114"/>
    </row>
    <row r="6" spans="1:34" x14ac:dyDescent="0.55000000000000004">
      <c r="A6" s="141"/>
      <c r="B6" s="142" t="s">
        <v>133</v>
      </c>
      <c r="C6" s="112" t="s">
        <v>133</v>
      </c>
      <c r="D6" s="112" t="s">
        <v>133</v>
      </c>
      <c r="E6" s="143" t="s">
        <v>133</v>
      </c>
      <c r="F6" s="142" t="s">
        <v>133</v>
      </c>
      <c r="G6" s="112" t="s">
        <v>133</v>
      </c>
      <c r="H6" s="112" t="s">
        <v>133</v>
      </c>
      <c r="I6" s="143" t="s">
        <v>133</v>
      </c>
      <c r="J6" s="142" t="s">
        <v>88</v>
      </c>
      <c r="K6" s="112" t="s">
        <v>88</v>
      </c>
      <c r="L6" s="112" t="s">
        <v>88</v>
      </c>
      <c r="M6" s="143" t="s">
        <v>88</v>
      </c>
      <c r="N6" s="142" t="s">
        <v>88</v>
      </c>
      <c r="O6" s="112" t="s">
        <v>88</v>
      </c>
      <c r="P6" s="112" t="s">
        <v>88</v>
      </c>
      <c r="Q6" s="143" t="s">
        <v>88</v>
      </c>
      <c r="R6" s="142" t="s">
        <v>133</v>
      </c>
      <c r="S6" s="112" t="s">
        <v>133</v>
      </c>
      <c r="T6" s="112" t="s">
        <v>133</v>
      </c>
      <c r="U6" s="143" t="s">
        <v>133</v>
      </c>
      <c r="V6" s="142" t="s">
        <v>133</v>
      </c>
      <c r="W6" s="112" t="s">
        <v>133</v>
      </c>
      <c r="X6" s="112" t="s">
        <v>133</v>
      </c>
      <c r="Y6" s="143" t="s">
        <v>133</v>
      </c>
      <c r="Z6" s="142" t="s">
        <v>88</v>
      </c>
      <c r="AA6" s="112" t="s">
        <v>88</v>
      </c>
      <c r="AB6" s="112" t="s">
        <v>88</v>
      </c>
      <c r="AC6" s="143" t="s">
        <v>88</v>
      </c>
      <c r="AD6" s="142" t="s">
        <v>88</v>
      </c>
      <c r="AE6" s="112" t="s">
        <v>88</v>
      </c>
      <c r="AF6" s="112" t="s">
        <v>88</v>
      </c>
      <c r="AG6" s="143" t="s">
        <v>88</v>
      </c>
      <c r="AH6" s="114"/>
    </row>
    <row r="7" spans="1:34" x14ac:dyDescent="0.55000000000000004">
      <c r="A7" s="130" t="s">
        <v>86</v>
      </c>
      <c r="B7" s="120" t="s">
        <v>135</v>
      </c>
      <c r="C7" s="113">
        <f>Input!$B$9</f>
        <v>2022</v>
      </c>
      <c r="D7" s="113">
        <f>Input!$B$10</f>
        <v>2023</v>
      </c>
      <c r="E7" s="121">
        <f>Input!$B$11</f>
        <v>2024</v>
      </c>
      <c r="F7" s="120" t="s">
        <v>135</v>
      </c>
      <c r="G7" s="113">
        <f>Input!$B$9</f>
        <v>2022</v>
      </c>
      <c r="H7" s="113">
        <f>Input!$B$10</f>
        <v>2023</v>
      </c>
      <c r="I7" s="121">
        <f>Input!$B$11</f>
        <v>2024</v>
      </c>
      <c r="J7" s="120" t="s">
        <v>135</v>
      </c>
      <c r="K7" s="113">
        <f>Input!$B$9</f>
        <v>2022</v>
      </c>
      <c r="L7" s="113">
        <f>Input!$B$10</f>
        <v>2023</v>
      </c>
      <c r="M7" s="121">
        <f>Input!$B$11</f>
        <v>2024</v>
      </c>
      <c r="N7" s="120" t="s">
        <v>135</v>
      </c>
      <c r="O7" s="113">
        <f>Input!$B$9</f>
        <v>2022</v>
      </c>
      <c r="P7" s="113">
        <f>Input!$B$10</f>
        <v>2023</v>
      </c>
      <c r="Q7" s="121">
        <f>Input!$B$11</f>
        <v>2024</v>
      </c>
      <c r="R7" s="120" t="s">
        <v>135</v>
      </c>
      <c r="S7" s="113">
        <f>Input!$B$9</f>
        <v>2022</v>
      </c>
      <c r="T7" s="113">
        <f>Input!$B$10</f>
        <v>2023</v>
      </c>
      <c r="U7" s="121">
        <f>Input!$B$11</f>
        <v>2024</v>
      </c>
      <c r="V7" s="120" t="s">
        <v>135</v>
      </c>
      <c r="W7" s="113">
        <f>Input!$B$9</f>
        <v>2022</v>
      </c>
      <c r="X7" s="113">
        <f>Input!$B$10</f>
        <v>2023</v>
      </c>
      <c r="Y7" s="121">
        <f>Input!$B$11</f>
        <v>2024</v>
      </c>
      <c r="Z7" s="120" t="s">
        <v>135</v>
      </c>
      <c r="AA7" s="113">
        <f>Input!$B$9</f>
        <v>2022</v>
      </c>
      <c r="AB7" s="113">
        <f>Input!$B$10</f>
        <v>2023</v>
      </c>
      <c r="AC7" s="121">
        <f>Input!$B$11</f>
        <v>2024</v>
      </c>
      <c r="AD7" s="120" t="s">
        <v>135</v>
      </c>
      <c r="AE7" s="113">
        <f>Input!$B$9</f>
        <v>2022</v>
      </c>
      <c r="AF7" s="113">
        <f>Input!$B$10</f>
        <v>2023</v>
      </c>
      <c r="AG7" s="121">
        <f>Input!$B$11</f>
        <v>2024</v>
      </c>
    </row>
    <row r="8" spans="1:34" outlineLevel="1" x14ac:dyDescent="0.55000000000000004">
      <c r="A8" s="131" t="s">
        <v>52</v>
      </c>
      <c r="B8" s="134"/>
      <c r="C8" s="30">
        <f>'Residential Bills_Yr 1_avg'!$D$22</f>
        <v>96.52</v>
      </c>
      <c r="D8" s="30">
        <f>'Residential Bills_Yr 2_avg'!$D$22</f>
        <v>107.58000000000001</v>
      </c>
      <c r="E8" s="122">
        <f>'Residential Bills_Yr 3_avg'!$D$22</f>
        <v>111.14477235659757</v>
      </c>
      <c r="F8" s="134"/>
      <c r="G8" s="30">
        <f>'Residential Bills_Yr 1_avg'!$D$49</f>
        <v>104.51</v>
      </c>
      <c r="H8" s="30">
        <f>'Residential Bills_Yr 2_avg'!$D$49</f>
        <v>120.7</v>
      </c>
      <c r="I8" s="122">
        <f>'Residential Bills_Yr 3_avg'!$D$49</f>
        <v>119.33477235659757</v>
      </c>
      <c r="J8" s="134"/>
      <c r="K8" s="30">
        <f>'Residential Bills_Yr 1_avg'!$D$70</f>
        <v>91.46</v>
      </c>
      <c r="L8" s="30">
        <f>'Residential Bills_Yr 2_avg'!$D$70</f>
        <v>107.58000000000001</v>
      </c>
      <c r="M8" s="122">
        <f>'Residential Bills_Yr 3_avg'!$D$70</f>
        <v>111.14477235659757</v>
      </c>
      <c r="N8" s="134"/>
      <c r="O8" s="30">
        <f>'Residential Bills_Yr 1_avg'!$D$97</f>
        <v>82.94</v>
      </c>
      <c r="P8" s="30">
        <f>'Residential Bills_Yr 2_avg'!$D$97</f>
        <v>101.29000000000002</v>
      </c>
      <c r="Q8" s="122">
        <f>'Residential Bills_Yr 3_avg'!$D$97</f>
        <v>100.13477235659758</v>
      </c>
      <c r="R8" s="134"/>
      <c r="S8" s="30">
        <f>'Residential Bills_Yr 1_6 Units'!$D$22</f>
        <v>69.3</v>
      </c>
      <c r="T8" s="30">
        <f>'Residential Bills_Yr 2_6 Units'!$D$22</f>
        <v>77.900000000000006</v>
      </c>
      <c r="U8" s="122">
        <f>'Residential Bills_Yr 3_6 Units'!$D$22</f>
        <v>80.484772356597574</v>
      </c>
      <c r="V8" s="134"/>
      <c r="W8" s="30">
        <f>'Residential Bills_Yr 1_6 Units'!$D$49</f>
        <v>75.460000000000008</v>
      </c>
      <c r="X8" s="30">
        <f>'Residential Bills_Yr 2_6 Units'!$D$49</f>
        <v>87.43</v>
      </c>
      <c r="Y8" s="122">
        <f>'Residential Bills_Yr 3_6 Units'!$D$49</f>
        <v>87.374772356597575</v>
      </c>
      <c r="Z8" s="134"/>
      <c r="AA8" s="30">
        <f>'Residential Bills_Yr 1_6 Units'!$D$70</f>
        <v>69.3</v>
      </c>
      <c r="AB8" s="30">
        <f>'Residential Bills_Yr 2_6 Units'!$D$70</f>
        <v>77.900000000000006</v>
      </c>
      <c r="AC8" s="122">
        <f>'Residential Bills_Yr 3_6 Units'!$D$70</f>
        <v>80.484772356597574</v>
      </c>
      <c r="AD8" s="134"/>
      <c r="AE8" s="30">
        <f>'Residential Bills_Yr 1_6 Units'!$D$97</f>
        <v>62.839999999999996</v>
      </c>
      <c r="AF8" s="30">
        <f>'Residential Bills_Yr 2_6 Units'!$D$97</f>
        <v>73.45</v>
      </c>
      <c r="AG8" s="122">
        <f>'Residential Bills_Yr 3_6 Units'!$D$97</f>
        <v>72.984772356597574</v>
      </c>
    </row>
    <row r="9" spans="1:34" outlineLevel="1" x14ac:dyDescent="0.55000000000000004">
      <c r="A9" s="131" t="s">
        <v>53</v>
      </c>
      <c r="B9" s="134"/>
      <c r="C9" s="30">
        <f>'Residential Bills_Yr 1_avg'!$H$22</f>
        <v>96.52</v>
      </c>
      <c r="D9" s="30">
        <f>'Residential Bills_Yr 2_avg'!$H$22</f>
        <v>107.58000000000001</v>
      </c>
      <c r="E9" s="122">
        <f>'Residential Bills_Yr 3_avg'!$H$22</f>
        <v>111.14477235659757</v>
      </c>
      <c r="F9" s="134"/>
      <c r="G9" s="30">
        <f>'Residential Bills_Yr 1_avg'!$H$49</f>
        <v>104.51</v>
      </c>
      <c r="H9" s="30">
        <f>'Residential Bills_Yr 2_avg'!$H$49</f>
        <v>120.7</v>
      </c>
      <c r="I9" s="122">
        <f>'Residential Bills_Yr 3_avg'!$H$49</f>
        <v>119.33477235659757</v>
      </c>
      <c r="J9" s="134"/>
      <c r="K9" s="30">
        <f>'Residential Bills_Yr 1_avg'!$H$70</f>
        <v>91.46</v>
      </c>
      <c r="L9" s="30">
        <f>'Residential Bills_Yr 2_avg'!$H$70</f>
        <v>107.58000000000001</v>
      </c>
      <c r="M9" s="122">
        <f>'Residential Bills_Yr 3_avg'!$H$70</f>
        <v>111.14477235659757</v>
      </c>
      <c r="N9" s="134"/>
      <c r="O9" s="30">
        <f>'Residential Bills_Yr 1_avg'!$H$97</f>
        <v>82.94</v>
      </c>
      <c r="P9" s="30">
        <f>'Residential Bills_Yr 2_avg'!$H$97</f>
        <v>101.29000000000002</v>
      </c>
      <c r="Q9" s="122">
        <f>'Residential Bills_Yr 3_avg'!$H$97</f>
        <v>100.13477235659758</v>
      </c>
      <c r="R9" s="134"/>
      <c r="S9" s="30">
        <f>'Residential Bills_Yr 1_6 Units'!$H$22</f>
        <v>69.3</v>
      </c>
      <c r="T9" s="30">
        <f>'Residential Bills_Yr 2_6 Units'!$H$22</f>
        <v>77.900000000000006</v>
      </c>
      <c r="U9" s="122">
        <f>'Residential Bills_Yr 3_6 Units'!$H$22</f>
        <v>80.484772356597574</v>
      </c>
      <c r="V9" s="134"/>
      <c r="W9" s="30">
        <f>'Residential Bills_Yr 1_6 Units'!$H$49</f>
        <v>75.460000000000008</v>
      </c>
      <c r="X9" s="30">
        <f>'Residential Bills_Yr 2_6 Units'!$H$49</f>
        <v>87.43</v>
      </c>
      <c r="Y9" s="122">
        <f>'Residential Bills_Yr 3_6 Units'!$H$49</f>
        <v>87.374772356597575</v>
      </c>
      <c r="Z9" s="134"/>
      <c r="AA9" s="30">
        <f>'Residential Bills_Yr 1_6 Units'!$H$70</f>
        <v>69.3</v>
      </c>
      <c r="AB9" s="30">
        <f>'Residential Bills_Yr 2_6 Units'!$H$70</f>
        <v>77.900000000000006</v>
      </c>
      <c r="AC9" s="122">
        <f>'Residential Bills_Yr 3_6 Units'!$H$70</f>
        <v>80.484772356597574</v>
      </c>
      <c r="AD9" s="134"/>
      <c r="AE9" s="30">
        <f>'Residential Bills_Yr 1_6 Units'!$H$97</f>
        <v>62.839999999999996</v>
      </c>
      <c r="AF9" s="30">
        <f>'Residential Bills_Yr 2_6 Units'!$H$97</f>
        <v>73.45</v>
      </c>
      <c r="AG9" s="122">
        <f>'Residential Bills_Yr 3_6 Units'!$H$97</f>
        <v>72.984772356597574</v>
      </c>
    </row>
    <row r="10" spans="1:34" outlineLevel="1" x14ac:dyDescent="0.55000000000000004">
      <c r="A10" s="131" t="s">
        <v>54</v>
      </c>
      <c r="B10" s="134"/>
      <c r="C10" s="30">
        <f>'Residential Bills_Yr 1_avg'!$L$22</f>
        <v>96.52</v>
      </c>
      <c r="D10" s="30">
        <f>'Residential Bills_Yr 2_avg'!$L$22</f>
        <v>107.58000000000001</v>
      </c>
      <c r="E10" s="122">
        <f>'Residential Bills_Yr 3_avg'!$L$22</f>
        <v>111.14477235659757</v>
      </c>
      <c r="F10" s="134"/>
      <c r="G10" s="30">
        <f>'Residential Bills_Yr 1_avg'!$L$49</f>
        <v>104.51</v>
      </c>
      <c r="H10" s="30">
        <f>'Residential Bills_Yr 2_avg'!$L$49</f>
        <v>120.7</v>
      </c>
      <c r="I10" s="122">
        <f>'Residential Bills_Yr 3_avg'!$L$49</f>
        <v>119.33477235659757</v>
      </c>
      <c r="J10" s="134"/>
      <c r="K10" s="30">
        <f>'Residential Bills_Yr 1_avg'!$L$70</f>
        <v>91.46</v>
      </c>
      <c r="L10" s="30">
        <f>'Residential Bills_Yr 2_avg'!$L$70</f>
        <v>107.58000000000001</v>
      </c>
      <c r="M10" s="122">
        <f>'Residential Bills_Yr 3_avg'!$L$70</f>
        <v>111.14477235659757</v>
      </c>
      <c r="N10" s="134"/>
      <c r="O10" s="30">
        <f>'Residential Bills_Yr 1_avg'!$L$97</f>
        <v>82.94</v>
      </c>
      <c r="P10" s="30">
        <f>'Residential Bills_Yr 2_avg'!$L$97</f>
        <v>101.29000000000002</v>
      </c>
      <c r="Q10" s="122">
        <f>'Residential Bills_Yr 3_avg'!$L$97</f>
        <v>100.13477235659758</v>
      </c>
      <c r="R10" s="134"/>
      <c r="S10" s="30">
        <f>'Residential Bills_Yr 1_6 Units'!$L$22</f>
        <v>69.3</v>
      </c>
      <c r="T10" s="30">
        <f>'Residential Bills_Yr 2_6 Units'!$L$22</f>
        <v>77.900000000000006</v>
      </c>
      <c r="U10" s="122">
        <f>'Residential Bills_Yr 3_6 Units'!$L$22</f>
        <v>80.484772356597574</v>
      </c>
      <c r="V10" s="134"/>
      <c r="W10" s="30">
        <f>'Residential Bills_Yr 1_6 Units'!$L$49</f>
        <v>75.460000000000008</v>
      </c>
      <c r="X10" s="30">
        <f>'Residential Bills_Yr 2_6 Units'!$L$49</f>
        <v>87.43</v>
      </c>
      <c r="Y10" s="122">
        <f>'Residential Bills_Yr 3_6 Units'!$L$49</f>
        <v>87.374772356597575</v>
      </c>
      <c r="Z10" s="134"/>
      <c r="AA10" s="30">
        <f>'Residential Bills_Yr 1_6 Units'!$L$70</f>
        <v>69.3</v>
      </c>
      <c r="AB10" s="30">
        <f>'Residential Bills_Yr 2_6 Units'!$L$70</f>
        <v>77.900000000000006</v>
      </c>
      <c r="AC10" s="122">
        <f>'Residential Bills_Yr 3_6 Units'!$L$70</f>
        <v>80.484772356597574</v>
      </c>
      <c r="AD10" s="134"/>
      <c r="AE10" s="30">
        <f>'Residential Bills_Yr 1_6 Units'!$L$97</f>
        <v>62.839999999999996</v>
      </c>
      <c r="AF10" s="30">
        <f>'Residential Bills_Yr 2_6 Units'!$L$97</f>
        <v>73.45</v>
      </c>
      <c r="AG10" s="122">
        <f>'Residential Bills_Yr 3_6 Units'!$L$97</f>
        <v>72.984772356597574</v>
      </c>
    </row>
    <row r="11" spans="1:34" outlineLevel="1" x14ac:dyDescent="0.55000000000000004">
      <c r="A11" s="131" t="s">
        <v>55</v>
      </c>
      <c r="B11" s="134"/>
      <c r="C11" s="30">
        <f>'Residential Bills_Yr 1_avg'!$P$22</f>
        <v>96.52</v>
      </c>
      <c r="D11" s="30">
        <f>'Residential Bills_Yr 2_avg'!$P$22</f>
        <v>107.58000000000001</v>
      </c>
      <c r="E11" s="122">
        <f>'Residential Bills_Yr 3_avg'!$P$22</f>
        <v>111.14477235659757</v>
      </c>
      <c r="F11" s="134"/>
      <c r="G11" s="30">
        <f>'Residential Bills_Yr 1_avg'!$P$49</f>
        <v>104.51</v>
      </c>
      <c r="H11" s="30">
        <f>'Residential Bills_Yr 2_avg'!$P$49</f>
        <v>120.7</v>
      </c>
      <c r="I11" s="122">
        <f>'Residential Bills_Yr 3_avg'!$P$49</f>
        <v>119.33477235659757</v>
      </c>
      <c r="J11" s="134"/>
      <c r="K11" s="30">
        <f>'Residential Bills_Yr 1_avg'!$P$70</f>
        <v>91.46</v>
      </c>
      <c r="L11" s="30">
        <f>'Residential Bills_Yr 2_avg'!$P$70</f>
        <v>107.58000000000001</v>
      </c>
      <c r="M11" s="122">
        <f>'Residential Bills_Yr 3_avg'!$P$70</f>
        <v>111.14477235659757</v>
      </c>
      <c r="N11" s="134"/>
      <c r="O11" s="30">
        <f>'Residential Bills_Yr 1_avg'!$P$97</f>
        <v>82.94</v>
      </c>
      <c r="P11" s="30">
        <f>'Residential Bills_Yr 2_avg'!$P$97</f>
        <v>101.29000000000002</v>
      </c>
      <c r="Q11" s="122">
        <f>'Residential Bills_Yr 3_avg'!$P$97</f>
        <v>100.13477235659758</v>
      </c>
      <c r="R11" s="134"/>
      <c r="S11" s="30">
        <f>'Residential Bills_Yr 1_6 Units'!$P$22</f>
        <v>69.3</v>
      </c>
      <c r="T11" s="30">
        <f>'Residential Bills_Yr 2_6 Units'!$P$22</f>
        <v>77.900000000000006</v>
      </c>
      <c r="U11" s="122">
        <f>'Residential Bills_Yr 3_6 Units'!$P$22</f>
        <v>80.484772356597574</v>
      </c>
      <c r="V11" s="134"/>
      <c r="W11" s="30">
        <f>'Residential Bills_Yr 1_6 Units'!$P$49</f>
        <v>75.460000000000008</v>
      </c>
      <c r="X11" s="30">
        <f>'Residential Bills_Yr 2_6 Units'!$P$49</f>
        <v>87.43</v>
      </c>
      <c r="Y11" s="122">
        <f>'Residential Bills_Yr 3_6 Units'!$P$49</f>
        <v>87.374772356597575</v>
      </c>
      <c r="Z11" s="134"/>
      <c r="AA11" s="30">
        <f>'Residential Bills_Yr 1_6 Units'!$P$70</f>
        <v>69.3</v>
      </c>
      <c r="AB11" s="30">
        <f>'Residential Bills_Yr 2_6 Units'!$P$70</f>
        <v>77.900000000000006</v>
      </c>
      <c r="AC11" s="122">
        <f>'Residential Bills_Yr 3_6 Units'!$P$70</f>
        <v>80.484772356597574</v>
      </c>
      <c r="AD11" s="134"/>
      <c r="AE11" s="30">
        <f>'Residential Bills_Yr 1_6 Units'!$P$97</f>
        <v>62.839999999999996</v>
      </c>
      <c r="AF11" s="30">
        <f>'Residential Bills_Yr 2_6 Units'!$P$97</f>
        <v>73.45</v>
      </c>
      <c r="AG11" s="122">
        <f>'Residential Bills_Yr 3_6 Units'!$P$97</f>
        <v>72.984772356597574</v>
      </c>
    </row>
    <row r="12" spans="1:34" outlineLevel="1" x14ac:dyDescent="0.55000000000000004">
      <c r="A12" s="131" t="s">
        <v>56</v>
      </c>
      <c r="B12" s="134"/>
      <c r="C12" s="30">
        <f>'Residential Bills_Yr 1_avg'!$T$22</f>
        <v>96.52</v>
      </c>
      <c r="D12" s="30">
        <f>'Residential Bills_Yr 2_avg'!$T$22</f>
        <v>107.58000000000001</v>
      </c>
      <c r="E12" s="122">
        <f>'Residential Bills_Yr 3_avg'!$T$22</f>
        <v>111.14477235659757</v>
      </c>
      <c r="F12" s="134"/>
      <c r="G12" s="30">
        <f>'Residential Bills_Yr 1_avg'!$T$49</f>
        <v>104.51</v>
      </c>
      <c r="H12" s="30">
        <f>'Residential Bills_Yr 2_avg'!$T$49</f>
        <v>120.7</v>
      </c>
      <c r="I12" s="122">
        <f>'Residential Bills_Yr 3_avg'!$T$49</f>
        <v>119.33477235659757</v>
      </c>
      <c r="J12" s="134"/>
      <c r="K12" s="30">
        <f>'Residential Bills_Yr 1_avg'!$T$70</f>
        <v>91.46</v>
      </c>
      <c r="L12" s="30">
        <f>'Residential Bills_Yr 2_avg'!$T$70</f>
        <v>107.58000000000001</v>
      </c>
      <c r="M12" s="122">
        <f>'Residential Bills_Yr 3_avg'!$T$70</f>
        <v>111.14477235659757</v>
      </c>
      <c r="N12" s="134"/>
      <c r="O12" s="30">
        <f>'Residential Bills_Yr 1_avg'!$T$97</f>
        <v>82.94</v>
      </c>
      <c r="P12" s="30">
        <f>'Residential Bills_Yr 2_avg'!$T$97</f>
        <v>101.29000000000002</v>
      </c>
      <c r="Q12" s="122">
        <f>'Residential Bills_Yr 3_avg'!$T$97</f>
        <v>100.13477235659758</v>
      </c>
      <c r="R12" s="134"/>
      <c r="S12" s="30">
        <f>'Residential Bills_Yr 1_6 Units'!$T$22</f>
        <v>69.3</v>
      </c>
      <c r="T12" s="30">
        <f>'Residential Bills_Yr 2_6 Units'!$T$22</f>
        <v>77.900000000000006</v>
      </c>
      <c r="U12" s="122">
        <f>'Residential Bills_Yr 3_6 Units'!$T$22</f>
        <v>80.484772356597574</v>
      </c>
      <c r="V12" s="134"/>
      <c r="W12" s="30">
        <f>'Residential Bills_Yr 1_6 Units'!$T$49</f>
        <v>75.460000000000008</v>
      </c>
      <c r="X12" s="30">
        <f>'Residential Bills_Yr 2_6 Units'!$T$49</f>
        <v>87.43</v>
      </c>
      <c r="Y12" s="122">
        <f>'Residential Bills_Yr 3_6 Units'!$T$49</f>
        <v>87.374772356597575</v>
      </c>
      <c r="Z12" s="134"/>
      <c r="AA12" s="30">
        <f>'Residential Bills_Yr 1_6 Units'!$T$70</f>
        <v>69.3</v>
      </c>
      <c r="AB12" s="30">
        <f>'Residential Bills_Yr 2_6 Units'!$T$70</f>
        <v>77.900000000000006</v>
      </c>
      <c r="AC12" s="122">
        <f>'Residential Bills_Yr 3_6 Units'!$T$70</f>
        <v>80.484772356597574</v>
      </c>
      <c r="AD12" s="134"/>
      <c r="AE12" s="30">
        <f>'Residential Bills_Yr 1_6 Units'!$T$97</f>
        <v>62.839999999999996</v>
      </c>
      <c r="AF12" s="30">
        <f>'Residential Bills_Yr 2_6 Units'!$T$97</f>
        <v>73.45</v>
      </c>
      <c r="AG12" s="122">
        <f>'Residential Bills_Yr 3_6 Units'!$T$97</f>
        <v>72.984772356597574</v>
      </c>
    </row>
    <row r="13" spans="1:34" outlineLevel="1" x14ac:dyDescent="0.55000000000000004">
      <c r="A13" s="131" t="s">
        <v>57</v>
      </c>
      <c r="B13" s="134"/>
      <c r="C13" s="30">
        <f>'Residential Bills_Yr 1_avg'!$X$22</f>
        <v>96.52</v>
      </c>
      <c r="D13" s="30">
        <f>'Residential Bills_Yr 2_avg'!$X$22</f>
        <v>107.58000000000001</v>
      </c>
      <c r="E13" s="122">
        <f>'Residential Bills_Yr 3_avg'!$X$22</f>
        <v>111.14477235659757</v>
      </c>
      <c r="F13" s="134"/>
      <c r="G13" s="30">
        <f>'Residential Bills_Yr 1_avg'!$X$49</f>
        <v>104.51</v>
      </c>
      <c r="H13" s="30">
        <f>'Residential Bills_Yr 2_avg'!$X$49</f>
        <v>120.7</v>
      </c>
      <c r="I13" s="122">
        <f>'Residential Bills_Yr 3_avg'!$X$49</f>
        <v>119.33477235659757</v>
      </c>
      <c r="J13" s="134"/>
      <c r="K13" s="30">
        <f>'Residential Bills_Yr 1_avg'!$X$70</f>
        <v>91.46</v>
      </c>
      <c r="L13" s="30">
        <f>'Residential Bills_Yr 2_avg'!$X$70</f>
        <v>107.58000000000001</v>
      </c>
      <c r="M13" s="122">
        <f>'Residential Bills_Yr 3_avg'!$X$70</f>
        <v>111.14477235659757</v>
      </c>
      <c r="N13" s="134"/>
      <c r="O13" s="30">
        <f>'Residential Bills_Yr 1_avg'!$X$97</f>
        <v>82.94</v>
      </c>
      <c r="P13" s="30">
        <f>'Residential Bills_Yr 2_avg'!$X$97</f>
        <v>101.29000000000002</v>
      </c>
      <c r="Q13" s="122">
        <f>'Residential Bills_Yr 3_avg'!$X$97</f>
        <v>100.13477235659758</v>
      </c>
      <c r="R13" s="134"/>
      <c r="S13" s="30">
        <f>'Residential Bills_Yr 1_6 Units'!$X$22</f>
        <v>69.3</v>
      </c>
      <c r="T13" s="30">
        <f>'Residential Bills_Yr 2_6 Units'!$X$22</f>
        <v>77.900000000000006</v>
      </c>
      <c r="U13" s="122">
        <f>'Residential Bills_Yr 3_6 Units'!$X$22</f>
        <v>80.484772356597574</v>
      </c>
      <c r="V13" s="134"/>
      <c r="W13" s="30">
        <f>'Residential Bills_Yr 1_6 Units'!$X$49</f>
        <v>75.460000000000008</v>
      </c>
      <c r="X13" s="30">
        <f>'Residential Bills_Yr 2_6 Units'!$X$49</f>
        <v>87.43</v>
      </c>
      <c r="Y13" s="122">
        <f>'Residential Bills_Yr 3_6 Units'!$X$49</f>
        <v>87.374772356597575</v>
      </c>
      <c r="Z13" s="134"/>
      <c r="AA13" s="30">
        <f>'Residential Bills_Yr 1_6 Units'!$X$70</f>
        <v>69.3</v>
      </c>
      <c r="AB13" s="30">
        <f>'Residential Bills_Yr 2_6 Units'!$X$70</f>
        <v>77.900000000000006</v>
      </c>
      <c r="AC13" s="122">
        <f>'Residential Bills_Yr 3_6 Units'!$X$70</f>
        <v>80.484772356597574</v>
      </c>
      <c r="AD13" s="134"/>
      <c r="AE13" s="30">
        <f>'Residential Bills_Yr 1_6 Units'!$X$97</f>
        <v>62.839999999999996</v>
      </c>
      <c r="AF13" s="30">
        <f>'Residential Bills_Yr 2_6 Units'!$X$97</f>
        <v>73.45</v>
      </c>
      <c r="AG13" s="122">
        <f>'Residential Bills_Yr 3_6 Units'!$X$97</f>
        <v>72.984772356597574</v>
      </c>
    </row>
    <row r="14" spans="1:34" outlineLevel="1" x14ac:dyDescent="0.55000000000000004">
      <c r="A14" s="131" t="s">
        <v>58</v>
      </c>
      <c r="B14" s="149"/>
      <c r="C14" s="30">
        <f>'Residential Bills_Yr 1_avg'!$AB$22</f>
        <v>102.23</v>
      </c>
      <c r="D14" s="30">
        <f>'Residential Bills_Yr 2_avg'!$AB$22</f>
        <v>107.58000000000001</v>
      </c>
      <c r="E14" s="122">
        <f>'Residential Bills_Yr 3_avg'!$AB$22</f>
        <v>111.14477235659757</v>
      </c>
      <c r="F14" s="148"/>
      <c r="G14" s="30">
        <f>'Residential Bills_Yr 1_avg'!$AB$49</f>
        <v>110.59</v>
      </c>
      <c r="H14" s="30">
        <f>'Residential Bills_Yr 2_avg'!$AB$49</f>
        <v>120.7</v>
      </c>
      <c r="I14" s="122">
        <f>'Residential Bills_Yr 3_avg'!$AB$49</f>
        <v>119.33477235659757</v>
      </c>
      <c r="J14" s="134"/>
      <c r="K14" s="30">
        <f>'Residential Bills_Yr 1_avg'!$AB$70</f>
        <v>97.15</v>
      </c>
      <c r="L14" s="30">
        <f>'Residential Bills_Yr 2_avg'!$AB$70</f>
        <v>107.58000000000001</v>
      </c>
      <c r="M14" s="122">
        <f>'Residential Bills_Yr 3_avg'!$AB$70</f>
        <v>111.14477235659757</v>
      </c>
      <c r="N14" s="134"/>
      <c r="O14" s="30">
        <f>'Residential Bills_Yr 1_avg'!$AB$97</f>
        <v>88.080000000000013</v>
      </c>
      <c r="P14" s="30">
        <f>'Residential Bills_Yr 2_avg'!$AB$97</f>
        <v>101.29000000000002</v>
      </c>
      <c r="Q14" s="122">
        <f>'Residential Bills_Yr 3_avg'!$AB$97</f>
        <v>100.13477235659758</v>
      </c>
      <c r="R14" s="134"/>
      <c r="S14" s="30">
        <f>'Residential Bills_Yr 1_6 Units'!$AB$22</f>
        <v>72.42</v>
      </c>
      <c r="T14" s="30">
        <f>'Residential Bills_Yr 2_6 Units'!$AB$22</f>
        <v>77.900000000000006</v>
      </c>
      <c r="U14" s="122">
        <f>'Residential Bills_Yr 3_6 Units'!$AB$22</f>
        <v>80.484772356597574</v>
      </c>
      <c r="V14" s="134"/>
      <c r="W14" s="30">
        <f>'Residential Bills_Yr 1_6 Units'!$AB$49</f>
        <v>78.790000000000006</v>
      </c>
      <c r="X14" s="30">
        <f>'Residential Bills_Yr 2_6 Units'!$AB$49</f>
        <v>87.43</v>
      </c>
      <c r="Y14" s="122">
        <f>'Residential Bills_Yr 3_6 Units'!$AB$49</f>
        <v>87.374772356597575</v>
      </c>
      <c r="Z14" s="134"/>
      <c r="AA14" s="30">
        <f>'Residential Bills_Yr 1_6 Units'!$AB$70</f>
        <v>72.42</v>
      </c>
      <c r="AB14" s="30">
        <f>'Residential Bills_Yr 2_6 Units'!$AB$70</f>
        <v>77.900000000000006</v>
      </c>
      <c r="AC14" s="122">
        <f>'Residential Bills_Yr 3_6 Units'!$AB$70</f>
        <v>80.484772356597574</v>
      </c>
      <c r="AD14" s="134"/>
      <c r="AE14" s="30">
        <f>'Residential Bills_Yr 1_6 Units'!$AB$97</f>
        <v>65.680000000000007</v>
      </c>
      <c r="AF14" s="30">
        <f>'Residential Bills_Yr 2_6 Units'!$AB$97</f>
        <v>73.45</v>
      </c>
      <c r="AG14" s="122">
        <f>'Residential Bills_Yr 3_6 Units'!$AB$97</f>
        <v>72.984772356597574</v>
      </c>
    </row>
    <row r="15" spans="1:34" outlineLevel="1" x14ac:dyDescent="0.55000000000000004">
      <c r="A15" s="131" t="s">
        <v>59</v>
      </c>
      <c r="B15" s="134"/>
      <c r="C15" s="30">
        <f>'Residential Bills_Yr 1_avg'!$AF$22</f>
        <v>102.23</v>
      </c>
      <c r="D15" s="30">
        <f>'Residential Bills_Yr 2_avg'!$AF$22</f>
        <v>107.58000000000001</v>
      </c>
      <c r="E15" s="122">
        <f>'Residential Bills_Yr 3_avg'!$AF$22</f>
        <v>111.14477235659757</v>
      </c>
      <c r="F15" s="148"/>
      <c r="G15" s="30">
        <f>'Residential Bills_Yr 1_avg'!$AF$49</f>
        <v>110.59</v>
      </c>
      <c r="H15" s="30">
        <f>'Residential Bills_Yr 2_avg'!$AF$49</f>
        <v>120.7</v>
      </c>
      <c r="I15" s="122">
        <f>'Residential Bills_Yr 3_avg'!$AF$49</f>
        <v>119.33477235659757</v>
      </c>
      <c r="J15" s="134"/>
      <c r="K15" s="30">
        <f>'Residential Bills_Yr 1_avg'!$AF$70</f>
        <v>97.15</v>
      </c>
      <c r="L15" s="30">
        <f>'Residential Bills_Yr 2_avg'!$AF$70</f>
        <v>107.58000000000001</v>
      </c>
      <c r="M15" s="122">
        <f>'Residential Bills_Yr 3_avg'!$AF$70</f>
        <v>111.14477235659757</v>
      </c>
      <c r="N15" s="134"/>
      <c r="O15" s="30">
        <f>'Residential Bills_Yr 1_avg'!$AF$97</f>
        <v>88.080000000000013</v>
      </c>
      <c r="P15" s="30">
        <f>'Residential Bills_Yr 2_avg'!$AF$97</f>
        <v>101.29000000000002</v>
      </c>
      <c r="Q15" s="122">
        <f>'Residential Bills_Yr 3_avg'!$AF$97</f>
        <v>100.13477235659758</v>
      </c>
      <c r="R15" s="134"/>
      <c r="S15" s="30">
        <f>'Residential Bills_Yr 1_6 Units'!$AF$22</f>
        <v>72.42</v>
      </c>
      <c r="T15" s="30">
        <f>'Residential Bills_Yr 2_6 Units'!$AF$22</f>
        <v>77.900000000000006</v>
      </c>
      <c r="U15" s="122">
        <f>'Residential Bills_Yr 3_6 Units'!$AF$22</f>
        <v>80.484772356597574</v>
      </c>
      <c r="V15" s="134"/>
      <c r="W15" s="30">
        <f>'Residential Bills_Yr 1_6 Units'!$AF$49</f>
        <v>78.790000000000006</v>
      </c>
      <c r="X15" s="30">
        <f>'Residential Bills_Yr 2_6 Units'!$AF$49</f>
        <v>87.43</v>
      </c>
      <c r="Y15" s="122">
        <f>'Residential Bills_Yr 3_6 Units'!$AF$49</f>
        <v>87.374772356597575</v>
      </c>
      <c r="Z15" s="134"/>
      <c r="AA15" s="30">
        <f>'Residential Bills_Yr 1_6 Units'!$AF$70</f>
        <v>72.42</v>
      </c>
      <c r="AB15" s="30">
        <f>'Residential Bills_Yr 2_6 Units'!$AF$70</f>
        <v>77.900000000000006</v>
      </c>
      <c r="AC15" s="122">
        <f>'Residential Bills_Yr 3_6 Units'!$AF$70</f>
        <v>80.484772356597574</v>
      </c>
      <c r="AD15" s="134"/>
      <c r="AE15" s="30">
        <f>'Residential Bills_Yr 1_6 Units'!$AF$97</f>
        <v>65.680000000000007</v>
      </c>
      <c r="AF15" s="30">
        <f>'Residential Bills_Yr 2_6 Units'!$AF$97</f>
        <v>73.45</v>
      </c>
      <c r="AG15" s="122">
        <f>'Residential Bills_Yr 3_6 Units'!$AF$97</f>
        <v>72.984772356597574</v>
      </c>
    </row>
    <row r="16" spans="1:34" outlineLevel="1" x14ac:dyDescent="0.55000000000000004">
      <c r="A16" s="131" t="s">
        <v>60</v>
      </c>
      <c r="B16" s="134"/>
      <c r="C16" s="30">
        <f>'Residential Bills_Yr 1_avg'!$AJ$22</f>
        <v>102.23</v>
      </c>
      <c r="D16" s="30">
        <f>'Residential Bills_Yr 2_avg'!$AJ$22</f>
        <v>107.58000000000001</v>
      </c>
      <c r="E16" s="122">
        <f>'Residential Bills_Yr 3_avg'!$AJ$22</f>
        <v>111.14477235659757</v>
      </c>
      <c r="F16" s="148"/>
      <c r="G16" s="30">
        <f>'Residential Bills_Yr 1_avg'!$AJ$49</f>
        <v>110.59</v>
      </c>
      <c r="H16" s="30">
        <f>'Residential Bills_Yr 2_avg'!$AJ$49</f>
        <v>120.59</v>
      </c>
      <c r="I16" s="122">
        <f>'Residential Bills_Yr 3_avg'!$AJ$49</f>
        <v>119.33477235659757</v>
      </c>
      <c r="J16" s="134"/>
      <c r="K16" s="30">
        <f>'Residential Bills_Yr 1_avg'!$AJ$70</f>
        <v>97.15</v>
      </c>
      <c r="L16" s="30">
        <f>'Residential Bills_Yr 2_avg'!$AJ$70</f>
        <v>107.58000000000001</v>
      </c>
      <c r="M16" s="122">
        <f>'Residential Bills_Yr 3_avg'!$AJ$70</f>
        <v>111.14477235659757</v>
      </c>
      <c r="N16" s="134"/>
      <c r="O16" s="30">
        <f>'Residential Bills_Yr 1_avg'!$AJ$97</f>
        <v>88.080000000000013</v>
      </c>
      <c r="P16" s="30">
        <f>'Residential Bills_Yr 2_avg'!$AJ$97</f>
        <v>101.29000000000002</v>
      </c>
      <c r="Q16" s="122">
        <f>'Residential Bills_Yr 3_avg'!$AJ$97</f>
        <v>100.13477235659758</v>
      </c>
      <c r="R16" s="134"/>
      <c r="S16" s="30">
        <f>'Residential Bills_Yr 1_6 Units'!$AJ$22</f>
        <v>72.42</v>
      </c>
      <c r="T16" s="30">
        <f>'Residential Bills_Yr 2_6 Units'!$AJ$22</f>
        <v>77.900000000000006</v>
      </c>
      <c r="U16" s="122">
        <f>'Residential Bills_Yr 3_6 Units'!$AJ$22</f>
        <v>80.484772356597574</v>
      </c>
      <c r="V16" s="134"/>
      <c r="W16" s="30">
        <f>'Residential Bills_Yr 1_6 Units'!$AJ$49</f>
        <v>78.790000000000006</v>
      </c>
      <c r="X16" s="30">
        <f>'Residential Bills_Yr 2_6 Units'!$AJ$49</f>
        <v>87.38000000000001</v>
      </c>
      <c r="Y16" s="122">
        <f>'Residential Bills_Yr 3_6 Units'!$AJ$49</f>
        <v>87.374772356597575</v>
      </c>
      <c r="Z16" s="134"/>
      <c r="AA16" s="30">
        <f>'Residential Bills_Yr 1_6 Units'!$AJ$70</f>
        <v>72.42</v>
      </c>
      <c r="AB16" s="30">
        <f>'Residential Bills_Yr 2_6 Units'!$AJ$70</f>
        <v>77.900000000000006</v>
      </c>
      <c r="AC16" s="122">
        <f>'Residential Bills_Yr 3_6 Units'!$AJ$70</f>
        <v>80.484772356597574</v>
      </c>
      <c r="AD16" s="134"/>
      <c r="AE16" s="30">
        <f>'Residential Bills_Yr 1_6 Units'!$AJ$97</f>
        <v>65.680000000000007</v>
      </c>
      <c r="AF16" s="30">
        <f>'Residential Bills_Yr 2_6 Units'!$AJ$97</f>
        <v>73.45</v>
      </c>
      <c r="AG16" s="122">
        <f>'Residential Bills_Yr 3_6 Units'!$AJ$97</f>
        <v>72.984772356597574</v>
      </c>
    </row>
    <row r="17" spans="1:33" outlineLevel="1" x14ac:dyDescent="0.55000000000000004">
      <c r="A17" s="131" t="s">
        <v>61</v>
      </c>
      <c r="B17" s="134"/>
      <c r="C17" s="30">
        <f>'Residential Bills_Yr 1_avg'!$AN$22</f>
        <v>102.23</v>
      </c>
      <c r="D17" s="30">
        <f>'Residential Bills_Yr 2_avg'!$AN$22</f>
        <v>107.58000000000001</v>
      </c>
      <c r="E17" s="122">
        <f>'Residential Bills_Yr 3_avg'!$AN$22</f>
        <v>111.14477235659757</v>
      </c>
      <c r="F17" s="148"/>
      <c r="G17" s="30">
        <f>'Residential Bills_Yr 1_avg'!$AN$49</f>
        <v>110.59</v>
      </c>
      <c r="H17" s="30">
        <f>'Residential Bills_Yr 2_avg'!$AN$49</f>
        <v>120.59</v>
      </c>
      <c r="I17" s="122">
        <f>'Residential Bills_Yr 3_avg'!$AN$49</f>
        <v>119.33477235659757</v>
      </c>
      <c r="J17" s="134"/>
      <c r="K17" s="30">
        <f>'Residential Bills_Yr 1_avg'!$AN$70</f>
        <v>97.15</v>
      </c>
      <c r="L17" s="30">
        <f>'Residential Bills_Yr 2_avg'!$AN$70</f>
        <v>107.58000000000001</v>
      </c>
      <c r="M17" s="122">
        <f>'Residential Bills_Yr 3_avg'!$AN$70</f>
        <v>111.14477235659757</v>
      </c>
      <c r="N17" s="134"/>
      <c r="O17" s="30">
        <f>'Residential Bills_Yr 1_avg'!$AN$97</f>
        <v>88.080000000000013</v>
      </c>
      <c r="P17" s="30">
        <f>'Residential Bills_Yr 2_avg'!$AN$97</f>
        <v>101.29000000000002</v>
      </c>
      <c r="Q17" s="122">
        <f>'Residential Bills_Yr 3_avg'!$AN$97</f>
        <v>100.13477235659758</v>
      </c>
      <c r="R17" s="134"/>
      <c r="S17" s="30">
        <f>'Residential Bills_Yr 1_6 Units'!$AN$22</f>
        <v>72.42</v>
      </c>
      <c r="T17" s="30">
        <f>'Residential Bills_Yr 2_6 Units'!$AN$22</f>
        <v>77.900000000000006</v>
      </c>
      <c r="U17" s="122">
        <f>'Residential Bills_Yr 3_6 Units'!$AN$22</f>
        <v>80.484772356597574</v>
      </c>
      <c r="V17" s="134"/>
      <c r="W17" s="30">
        <f>'Residential Bills_Yr 1_6 Units'!$AN$49</f>
        <v>78.790000000000006</v>
      </c>
      <c r="X17" s="30">
        <f>'Residential Bills_Yr 2_6 Units'!$AN$49</f>
        <v>87.38000000000001</v>
      </c>
      <c r="Y17" s="122">
        <f>'Residential Bills_Yr 3_6 Units'!$AN$49</f>
        <v>87.374772356597575</v>
      </c>
      <c r="Z17" s="134"/>
      <c r="AA17" s="30">
        <f>'Residential Bills_Yr 1_6 Units'!$AN$70</f>
        <v>72.42</v>
      </c>
      <c r="AB17" s="30">
        <f>'Residential Bills_Yr 2_6 Units'!$AN$70</f>
        <v>77.900000000000006</v>
      </c>
      <c r="AC17" s="122">
        <f>'Residential Bills_Yr 3_6 Units'!$AN$70</f>
        <v>80.484772356597574</v>
      </c>
      <c r="AD17" s="134"/>
      <c r="AE17" s="30">
        <f>'Residential Bills_Yr 1_6 Units'!$AN$97</f>
        <v>65.680000000000007</v>
      </c>
      <c r="AF17" s="30">
        <f>'Residential Bills_Yr 2_6 Units'!$AN$97</f>
        <v>73.45</v>
      </c>
      <c r="AG17" s="122">
        <f>'Residential Bills_Yr 3_6 Units'!$AN$97</f>
        <v>72.984772356597574</v>
      </c>
    </row>
    <row r="18" spans="1:33" outlineLevel="1" x14ac:dyDescent="0.55000000000000004">
      <c r="A18" s="131" t="s">
        <v>62</v>
      </c>
      <c r="B18" s="134"/>
      <c r="C18" s="30">
        <f>'Residential Bills_Yr 1_avg'!$AR$22</f>
        <v>103.47</v>
      </c>
      <c r="D18" s="30">
        <f>'Residential Bills_Yr 2_avg'!$AR$22</f>
        <v>107.58000000000001</v>
      </c>
      <c r="E18" s="122">
        <f>'Residential Bills_Yr 3_avg'!$AR$22</f>
        <v>111.14477235659757</v>
      </c>
      <c r="F18" s="148"/>
      <c r="G18" s="30">
        <f>'Residential Bills_Yr 1_avg'!$AR$49</f>
        <v>105.89</v>
      </c>
      <c r="H18" s="30">
        <f>'Residential Bills_Yr 2_avg'!$AR$49</f>
        <v>120.59</v>
      </c>
      <c r="I18" s="122">
        <f>'Residential Bills_Yr 3_avg'!$AR$49</f>
        <v>119.33477235659757</v>
      </c>
      <c r="J18" s="134"/>
      <c r="K18" s="30">
        <f>'Residential Bills_Yr 1_avg'!$AR$70</f>
        <v>103.47</v>
      </c>
      <c r="L18" s="30">
        <f>'Residential Bills_Yr 2_avg'!$AR$70</f>
        <v>107.58000000000001</v>
      </c>
      <c r="M18" s="122">
        <f>'Residential Bills_Yr 3_avg'!$AR$70</f>
        <v>111.14477235659757</v>
      </c>
      <c r="N18" s="134"/>
      <c r="O18" s="30">
        <f>'Residential Bills_Yr 1_avg'!$AR$97</f>
        <v>88.69</v>
      </c>
      <c r="P18" s="30">
        <f>'Residential Bills_Yr 2_avg'!$AR$97</f>
        <v>101.29000000000002</v>
      </c>
      <c r="Q18" s="122">
        <f>'Residential Bills_Yr 3_avg'!$AR$97</f>
        <v>100.13477235659758</v>
      </c>
      <c r="R18" s="134"/>
      <c r="S18" s="30">
        <f>'Residential Bills_Yr 1_6 Units'!$AR$22</f>
        <v>74.88</v>
      </c>
      <c r="T18" s="30">
        <f>'Residential Bills_Yr 2_6 Units'!$AR$22</f>
        <v>77.900000000000006</v>
      </c>
      <c r="U18" s="122">
        <f>'Residential Bills_Yr 3_6 Units'!$AR$22</f>
        <v>80.484772356597574</v>
      </c>
      <c r="V18" s="134"/>
      <c r="W18" s="30">
        <f>'Residential Bills_Yr 1_6 Units'!$AR$49</f>
        <v>75.39</v>
      </c>
      <c r="X18" s="30">
        <f>'Residential Bills_Yr 2_6 Units'!$AR$49</f>
        <v>87.38000000000001</v>
      </c>
      <c r="Y18" s="122">
        <f>'Residential Bills_Yr 3_6 Units'!$AR$49</f>
        <v>87.374772356597575</v>
      </c>
      <c r="Z18" s="134"/>
      <c r="AA18" s="30">
        <f>'Residential Bills_Yr 1_6 Units'!$AR$70</f>
        <v>74.88</v>
      </c>
      <c r="AB18" s="30">
        <f>'Residential Bills_Yr 2_6 Units'!$AR$70</f>
        <v>77.900000000000006</v>
      </c>
      <c r="AC18" s="122">
        <f>'Residential Bills_Yr 3_6 Units'!$AR$70</f>
        <v>80.484772356597574</v>
      </c>
      <c r="AD18" s="134"/>
      <c r="AE18" s="30">
        <f>'Residential Bills_Yr 1_6 Units'!$AR$97</f>
        <v>61.89</v>
      </c>
      <c r="AF18" s="30">
        <f>'Residential Bills_Yr 2_6 Units'!$AR$97</f>
        <v>73.45</v>
      </c>
      <c r="AG18" s="122">
        <f>'Residential Bills_Yr 3_6 Units'!$AR$97</f>
        <v>72.984772356597574</v>
      </c>
    </row>
    <row r="19" spans="1:33" outlineLevel="1" x14ac:dyDescent="0.55000000000000004">
      <c r="A19" s="131" t="s">
        <v>63</v>
      </c>
      <c r="B19" s="134"/>
      <c r="C19" s="30">
        <f>'Residential Bills_Yr 1_avg'!$AV$22</f>
        <v>103.47</v>
      </c>
      <c r="D19" s="30">
        <f>'Residential Bills_Yr 2_avg'!$AV$22</f>
        <v>107.58000000000001</v>
      </c>
      <c r="E19" s="122">
        <f>'Residential Bills_Yr 3_avg'!$AV$22</f>
        <v>111.14477235659757</v>
      </c>
      <c r="F19" s="148"/>
      <c r="G19" s="30">
        <f>'Residential Bills_Yr 1_avg'!$AV$49</f>
        <v>111.91</v>
      </c>
      <c r="H19" s="30">
        <f>'Residential Bills_Yr 2_avg'!$AV$49</f>
        <v>120.59</v>
      </c>
      <c r="I19" s="122">
        <f>'Residential Bills_Yr 3_avg'!$AV$49</f>
        <v>119.33477235659757</v>
      </c>
      <c r="J19" s="134"/>
      <c r="K19" s="30">
        <f>'Residential Bills_Yr 1_avg'!$AV$70</f>
        <v>103.47</v>
      </c>
      <c r="L19" s="30">
        <f>'Residential Bills_Yr 2_avg'!$AV$70</f>
        <v>107.58000000000001</v>
      </c>
      <c r="M19" s="122">
        <f>'Residential Bills_Yr 3_avg'!$AV$70</f>
        <v>111.14477235659757</v>
      </c>
      <c r="N19" s="134"/>
      <c r="O19" s="30">
        <f>'Residential Bills_Yr 1_avg'!$AV$97</f>
        <v>93.820000000000007</v>
      </c>
      <c r="P19" s="30">
        <f>'Residential Bills_Yr 2_avg'!$AV$97</f>
        <v>101.29000000000002</v>
      </c>
      <c r="Q19" s="122">
        <f>'Residential Bills_Yr 3_avg'!$AV$97</f>
        <v>100.13477235659758</v>
      </c>
      <c r="R19" s="134"/>
      <c r="S19" s="30">
        <f>'Residential Bills_Yr 1_6 Units'!$AV$22</f>
        <v>74.88</v>
      </c>
      <c r="T19" s="30">
        <f>'Residential Bills_Yr 2_6 Units'!$AV$22</f>
        <v>77.900000000000006</v>
      </c>
      <c r="U19" s="122">
        <f>'Residential Bills_Yr 3_6 Units'!$AV$22</f>
        <v>80.484772356597574</v>
      </c>
      <c r="V19" s="134"/>
      <c r="W19" s="30">
        <f>'Residential Bills_Yr 1_6 Units'!$AV$49</f>
        <v>81.41</v>
      </c>
      <c r="X19" s="30">
        <f>'Residential Bills_Yr 2_6 Units'!$AV$49</f>
        <v>87.38000000000001</v>
      </c>
      <c r="Y19" s="122">
        <f>'Residential Bills_Yr 3_6 Units'!$AV$49</f>
        <v>87.374772356597575</v>
      </c>
      <c r="Z19" s="134"/>
      <c r="AA19" s="30">
        <f>'Residential Bills_Yr 1_6 Units'!$AV$70</f>
        <v>74.88</v>
      </c>
      <c r="AB19" s="30">
        <f>'Residential Bills_Yr 2_6 Units'!$AV$70</f>
        <v>77.900000000000006</v>
      </c>
      <c r="AC19" s="122">
        <f>'Residential Bills_Yr 3_6 Units'!$AV$70</f>
        <v>80.484772356597574</v>
      </c>
      <c r="AD19" s="134"/>
      <c r="AE19" s="30">
        <f>'Residential Bills_Yr 1_6 Units'!$AV$97</f>
        <v>67.899999999999991</v>
      </c>
      <c r="AF19" s="30">
        <f>'Residential Bills_Yr 2_6 Units'!$AV$97</f>
        <v>73.45</v>
      </c>
      <c r="AG19" s="122">
        <f>'Residential Bills_Yr 3_6 Units'!$AV$97</f>
        <v>72.984772356597574</v>
      </c>
    </row>
    <row r="20" spans="1:33" s="116" customFormat="1" x14ac:dyDescent="0.55000000000000004">
      <c r="A20" s="132" t="s">
        <v>7</v>
      </c>
      <c r="B20" s="123">
        <f>'Residential Bill_Current_avg'!B7</f>
        <v>11</v>
      </c>
      <c r="C20" s="115">
        <f>'Residential Bills_Yr 1_avg'!$B$7</f>
        <v>11</v>
      </c>
      <c r="D20" s="115">
        <f>'Residential Bills_Yr 2_avg'!$B$7</f>
        <v>11</v>
      </c>
      <c r="E20" s="124">
        <f>'Residential Bills_Yr 3_avg'!$B$7</f>
        <v>11</v>
      </c>
      <c r="F20" s="123">
        <f>'Residential Bill_Current_avg'!B7</f>
        <v>11</v>
      </c>
      <c r="G20" s="115">
        <f>$C$20</f>
        <v>11</v>
      </c>
      <c r="H20" s="115">
        <f>$D$20</f>
        <v>11</v>
      </c>
      <c r="I20" s="124">
        <f>$E$20</f>
        <v>11</v>
      </c>
      <c r="J20" s="167">
        <f>'Residential Bill_Current_avg'!$B$55</f>
        <v>11</v>
      </c>
      <c r="K20" s="3">
        <f>J20</f>
        <v>11</v>
      </c>
      <c r="L20" s="3">
        <f>K20</f>
        <v>11</v>
      </c>
      <c r="M20" s="3">
        <f>L20</f>
        <v>11</v>
      </c>
      <c r="N20" s="167">
        <f>'Residential Bill_Current_avg'!$B$55</f>
        <v>11</v>
      </c>
      <c r="O20" s="3">
        <f>N20</f>
        <v>11</v>
      </c>
      <c r="P20" s="3">
        <f>O20</f>
        <v>11</v>
      </c>
      <c r="Q20" s="3">
        <f>P20</f>
        <v>11</v>
      </c>
      <c r="R20" s="123">
        <f>'Residential Bill_Current6 units'!$B$7</f>
        <v>6</v>
      </c>
      <c r="S20" s="115">
        <f>'Residential Bills_Yr 1_6 Units'!$B$7</f>
        <v>6</v>
      </c>
      <c r="T20" s="115">
        <f>'Residential Bills_Yr 2_6 Units'!$B$7</f>
        <v>6</v>
      </c>
      <c r="U20" s="124">
        <f>'Residential Bills_Yr 3_6 Units'!$B$7</f>
        <v>6</v>
      </c>
      <c r="V20" s="123">
        <f>'Residential Bill_Current6 units'!$B$7</f>
        <v>6</v>
      </c>
      <c r="W20" s="115">
        <f>$S$20</f>
        <v>6</v>
      </c>
      <c r="X20" s="115">
        <f>$T$20</f>
        <v>6</v>
      </c>
      <c r="Y20" s="124">
        <f>$U$20</f>
        <v>6</v>
      </c>
      <c r="Z20" s="123">
        <f>'Residential Bill_Current6 units'!$B$55</f>
        <v>6</v>
      </c>
      <c r="AA20" s="115">
        <f>'Residential Bills_Yr 1_6 Units'!$B$7</f>
        <v>6</v>
      </c>
      <c r="AB20" s="115">
        <f>'Residential Bills_Yr 2_6 Units'!$B$7</f>
        <v>6</v>
      </c>
      <c r="AC20" s="124">
        <f>'Residential Bills_Yr 3_6 Units'!$B$7</f>
        <v>6</v>
      </c>
      <c r="AD20" s="123">
        <f>'Residential Bill_Current6 units'!$B$55</f>
        <v>6</v>
      </c>
      <c r="AE20" s="115">
        <f>$S$20</f>
        <v>6</v>
      </c>
      <c r="AF20" s="115">
        <f>$T$20</f>
        <v>6</v>
      </c>
      <c r="AG20" s="124">
        <f>$U$20</f>
        <v>6</v>
      </c>
    </row>
    <row r="21" spans="1:33" s="116" customFormat="1" x14ac:dyDescent="0.55000000000000004">
      <c r="A21" s="133" t="str">
        <f>CONCATENATE("Current Bill"," ",Input!$B$13)</f>
        <v>Current Bill January 2022</v>
      </c>
      <c r="B21" s="125">
        <f>'Residential Bill_Current_avg'!$D$22</f>
        <v>96.52</v>
      </c>
      <c r="C21" s="126"/>
      <c r="D21" s="127"/>
      <c r="E21" s="128"/>
      <c r="F21" s="125">
        <f>'Residential Bill_Current_avg'!$D$49</f>
        <v>104.51</v>
      </c>
      <c r="G21" s="126"/>
      <c r="H21" s="135"/>
      <c r="I21" s="128"/>
      <c r="J21" s="125">
        <f>'Residential Bill_Current_avg'!$D$70</f>
        <v>96.52</v>
      </c>
      <c r="K21" s="126"/>
      <c r="L21" s="135"/>
      <c r="M21" s="128"/>
      <c r="N21" s="125">
        <f>'Residential Bill_Current_avg'!$D$97</f>
        <v>87.55</v>
      </c>
      <c r="O21" s="126"/>
      <c r="P21" s="135"/>
      <c r="Q21" s="128"/>
      <c r="R21" s="125">
        <f>'Residential Bill_Current6 units'!$D$22</f>
        <v>69.3</v>
      </c>
      <c r="S21" s="126"/>
      <c r="T21" s="127"/>
      <c r="U21" s="128"/>
      <c r="V21" s="125">
        <f>'Residential Bill_Current6 units'!$D$49</f>
        <v>75.460000000000008</v>
      </c>
      <c r="W21" s="126"/>
      <c r="X21" s="127"/>
      <c r="Y21" s="128"/>
      <c r="Z21" s="125">
        <f>'Residential Bill_Current6 units'!$D$70</f>
        <v>69.3</v>
      </c>
      <c r="AA21" s="126"/>
      <c r="AB21" s="127"/>
      <c r="AC21" s="128"/>
      <c r="AD21" s="125">
        <f>'Residential Bill_Current6 units'!$D$97</f>
        <v>62.84</v>
      </c>
      <c r="AE21" s="126"/>
      <c r="AF21" s="127"/>
      <c r="AG21" s="128"/>
    </row>
    <row r="23" spans="1:33" hidden="1" outlineLevel="1" x14ac:dyDescent="0.55000000000000004"/>
    <row r="24" spans="1:33" hidden="1" outlineLevel="1" x14ac:dyDescent="0.55000000000000004"/>
    <row r="25" spans="1:33" hidden="1" outlineLevel="1" x14ac:dyDescent="0.55000000000000004"/>
    <row r="26" spans="1:33" hidden="1" outlineLevel="1" x14ac:dyDescent="0.55000000000000004"/>
    <row r="27" spans="1:33" hidden="1" outlineLevel="1" x14ac:dyDescent="0.55000000000000004"/>
    <row r="28" spans="1:33" hidden="1" outlineLevel="1" x14ac:dyDescent="0.55000000000000004"/>
    <row r="29" spans="1:33" hidden="1" outlineLevel="1" x14ac:dyDescent="0.55000000000000004"/>
    <row r="30" spans="1:33" hidden="1" outlineLevel="1" x14ac:dyDescent="0.55000000000000004"/>
    <row r="31" spans="1:33" hidden="1" outlineLevel="1" x14ac:dyDescent="0.55000000000000004"/>
    <row r="32" spans="1:33" hidden="1" outlineLevel="1" x14ac:dyDescent="0.55000000000000004"/>
    <row r="33" spans="1:7" hidden="1" outlineLevel="1" x14ac:dyDescent="0.55000000000000004"/>
    <row r="34" spans="1:7" hidden="1" outlineLevel="1" x14ac:dyDescent="0.55000000000000004"/>
    <row r="35" spans="1:7" collapsed="1" x14ac:dyDescent="0.55000000000000004"/>
    <row r="36" spans="1:7" x14ac:dyDescent="0.55000000000000004">
      <c r="G36" s="187">
        <f>H8-G19</f>
        <v>8.7900000000000063</v>
      </c>
    </row>
    <row r="37" spans="1:7" x14ac:dyDescent="0.55000000000000004">
      <c r="G37" s="17">
        <f>G36/G19</f>
        <v>7.8545259583594013E-2</v>
      </c>
    </row>
    <row r="39" spans="1:7" x14ac:dyDescent="0.55000000000000004">
      <c r="A39" s="34"/>
      <c r="B39" s="34"/>
      <c r="D39" s="96"/>
      <c r="E39" s="96"/>
      <c r="F39" s="110"/>
    </row>
    <row r="40" spans="1:7" x14ac:dyDescent="0.55000000000000004">
      <c r="A40" s="34"/>
      <c r="B40" s="34"/>
      <c r="D40" s="69"/>
      <c r="E40" s="69"/>
      <c r="F40" s="69"/>
    </row>
  </sheetData>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topLeftCell="A80" zoomScale="130" zoomScaleNormal="130" workbookViewId="0">
      <pane xSplit="1" topLeftCell="B1" activePane="topRight" state="frozen"/>
      <selection activeCell="B6" sqref="B6"/>
      <selection pane="topRight" activeCell="B20" sqref="B20"/>
    </sheetView>
  </sheetViews>
  <sheetFormatPr defaultRowHeight="14.4" x14ac:dyDescent="0.55000000000000004"/>
  <cols>
    <col min="1" max="1" width="30.41796875" customWidth="1"/>
    <col min="2" max="2" width="12" bestFit="1" customWidth="1"/>
    <col min="3" max="3" width="14.83984375" bestFit="1" customWidth="1"/>
    <col min="4" max="4" width="10.83984375" bestFit="1" customWidth="1"/>
    <col min="5" max="5" width="0.83984375" customWidth="1"/>
  </cols>
  <sheetData>
    <row r="1" spans="1:4" x14ac:dyDescent="0.55000000000000004">
      <c r="A1" s="1" t="s">
        <v>0</v>
      </c>
    </row>
    <row r="2" spans="1:4" x14ac:dyDescent="0.55000000000000004">
      <c r="A2" s="1" t="s">
        <v>1</v>
      </c>
    </row>
    <row r="3" spans="1:4" x14ac:dyDescent="0.55000000000000004">
      <c r="A3" s="1" t="str">
        <f>Input!A86</f>
        <v>San Jose Water Company</v>
      </c>
    </row>
    <row r="4" spans="1:4" ht="14.7" thickBot="1" x14ac:dyDescent="0.6">
      <c r="A4" s="1"/>
    </row>
    <row r="5" spans="1:4" x14ac:dyDescent="0.55000000000000004">
      <c r="A5" s="11" t="s">
        <v>83</v>
      </c>
      <c r="B5" s="12">
        <f>YEAR(Input!B4)</f>
        <v>2022</v>
      </c>
    </row>
    <row r="6" spans="1:4" x14ac:dyDescent="0.55000000000000004">
      <c r="A6" s="13" t="s">
        <v>6</v>
      </c>
      <c r="B6" s="57" t="s">
        <v>14</v>
      </c>
      <c r="C6" s="37" t="s">
        <v>37</v>
      </c>
    </row>
    <row r="7" spans="1:4" x14ac:dyDescent="0.55000000000000004">
      <c r="A7" s="13" t="s">
        <v>41</v>
      </c>
      <c r="B7" s="14">
        <f>Input!C5</f>
        <v>11</v>
      </c>
    </row>
    <row r="8" spans="1:4" x14ac:dyDescent="0.55000000000000004">
      <c r="A8" s="13" t="s">
        <v>8</v>
      </c>
      <c r="B8" s="14" t="s">
        <v>24</v>
      </c>
    </row>
    <row r="9" spans="1:4" x14ac:dyDescent="0.55000000000000004">
      <c r="A9" s="13" t="s">
        <v>89</v>
      </c>
      <c r="B9" s="14" t="s">
        <v>27</v>
      </c>
    </row>
    <row r="10" spans="1:4" x14ac:dyDescent="0.55000000000000004">
      <c r="A10" s="13" t="s">
        <v>51</v>
      </c>
      <c r="B10" s="14" t="str">
        <f>VLOOKUP(B11,Input!$A$86:$B$92,2,FALSE)</f>
        <v>San Jose Water Company</v>
      </c>
    </row>
    <row r="11" spans="1:4" ht="14.7" thickBot="1" x14ac:dyDescent="0.6">
      <c r="A11" s="15" t="s">
        <v>28</v>
      </c>
      <c r="B11" s="35" t="str">
        <f>Input!$A$86</f>
        <v>San Jose Water Company</v>
      </c>
    </row>
    <row r="12" spans="1:4" ht="14.7" thickBot="1" x14ac:dyDescent="0.6">
      <c r="A12" s="34"/>
      <c r="B12" s="24"/>
    </row>
    <row r="13" spans="1:4" ht="14.7" thickBot="1" x14ac:dyDescent="0.6">
      <c r="A13" s="1"/>
      <c r="B13" s="209" t="str">
        <f>Input!B13</f>
        <v>January 2022</v>
      </c>
      <c r="C13" s="210"/>
      <c r="D13" s="211"/>
    </row>
    <row r="14" spans="1:4" x14ac:dyDescent="0.55000000000000004">
      <c r="A14" s="1" t="s">
        <v>5</v>
      </c>
      <c r="B14" s="16"/>
      <c r="C14" s="17"/>
      <c r="D14" s="18">
        <f>INDEX(Input!$B$28:$AL$42,MATCH('Residential Bill_Current_avg'!$B$6,Input!$A$28:$A$42,0),MATCH('Residential Bill_Current_avg'!B$13,Input!$B$27:$AL$27,0))</f>
        <v>41.69</v>
      </c>
    </row>
    <row r="15" spans="1:4" x14ac:dyDescent="0.55000000000000004">
      <c r="B15" s="16"/>
      <c r="C15" s="17"/>
      <c r="D15" s="19"/>
    </row>
    <row r="16" spans="1:4" x14ac:dyDescent="0.55000000000000004">
      <c r="A16" s="1" t="s">
        <v>33</v>
      </c>
      <c r="B16" s="20" t="s">
        <v>29</v>
      </c>
      <c r="C16" s="21" t="s">
        <v>7</v>
      </c>
      <c r="D16" s="22" t="s">
        <v>30</v>
      </c>
    </row>
    <row r="17" spans="1:4" x14ac:dyDescent="0.55000000000000004">
      <c r="A17" t="str">
        <f>Input!A21</f>
        <v>Tier 1</v>
      </c>
      <c r="B17" s="23">
        <f>INDEX(Input!$B$21:$AL$25,MATCH('Residential Bill_Current_avg'!$A17,Input!$A$21:$A$25,0),MATCH('Residential Bill_Current_avg'!B$13,Input!$B$20:$AL$20,0))</f>
        <v>3.7563</v>
      </c>
      <c r="C17" s="24">
        <f>IF($B$7&gt;Input!F108,Input!F108,$B$7)</f>
        <v>3</v>
      </c>
      <c r="D17" s="25">
        <f>ROUND(IFERROR(B17*C17," "),2)</f>
        <v>11.27</v>
      </c>
    </row>
    <row r="18" spans="1:4" x14ac:dyDescent="0.55000000000000004">
      <c r="A18" t="str">
        <f>Input!A22</f>
        <v>Tier 2</v>
      </c>
      <c r="B18" s="23">
        <f>INDEX(Input!$B$21:$AL$25,MATCH('Residential Bill_Current_avg'!$A18,Input!$A$21:$A$25,0),MATCH('Residential Bill_Current_avg'!B$13,Input!$B$20:$AL$20,0))</f>
        <v>5.4452999999999996</v>
      </c>
      <c r="C18" s="24">
        <f>IF(($B$7-C17)&gt;Input!F109,Input!F109,($B$7-C17))</f>
        <v>8</v>
      </c>
      <c r="D18" s="25">
        <f>ROUND(IFERROR(B18*C18," "),2)</f>
        <v>43.56</v>
      </c>
    </row>
    <row r="19" spans="1:4" x14ac:dyDescent="0.55000000000000004">
      <c r="A19" t="str">
        <f>Input!A23</f>
        <v>Tier 3</v>
      </c>
      <c r="B19" s="23">
        <f>INDEX(Input!$B$21:$AL$25,MATCH('Residential Bill_Current_avg'!$A19,Input!$A$21:$A$25,0),MATCH('Residential Bill_Current_avg'!B$13,Input!$B$20:$AL$20,0))</f>
        <v>7.1337999999999999</v>
      </c>
      <c r="C19" s="24">
        <f>IF(OR(Input!F106="Tier 4",Input!F106="Tier 5"),IF(($B$7-C17-C18)&gt;Input!F110,Input!F110,($B$7-C17-C18)),($B$7-C17-C18))</f>
        <v>0</v>
      </c>
      <c r="D19" s="25">
        <f>ROUND(IFERROR(B19*C19," "),2)</f>
        <v>0</v>
      </c>
    </row>
    <row r="20" spans="1:4" ht="14.5" customHeight="1" x14ac:dyDescent="0.55000000000000004">
      <c r="A20" t="str">
        <f>Input!A24</f>
        <v>Tier 4</v>
      </c>
      <c r="B20" s="23">
        <f>INDEX(Input!$B$21:$AL$25,MATCH('Residential Bill_Current_avg'!$A20,Input!$A$21:$A$25,0),MATCH('Residential Bill_Current_avg'!B$13,Input!$B$20:$AL$20,0))</f>
        <v>0</v>
      </c>
      <c r="C20" s="24" t="str">
        <f>IF(Input!F106="Tier 4",($B$7-C17-C18-C19),IF(Input!F106="Tier 5",IF(($B$7-C17-C18-C19)&gt;Input!F111,Input!F111,($B$7-C17-C18-C19))," "))</f>
        <v xml:space="preserve"> </v>
      </c>
      <c r="D20" s="25" t="str">
        <f t="shared" ref="D20:D21" si="0">IFERROR(B20*C20," ")</f>
        <v xml:space="preserve"> </v>
      </c>
    </row>
    <row r="21" spans="1:4" ht="14.5" customHeight="1" x14ac:dyDescent="0.55000000000000004">
      <c r="A21" t="str">
        <f>Input!A25</f>
        <v>Tier 5</v>
      </c>
      <c r="B21" s="23">
        <f>INDEX(Input!$B$21:$AL$25,MATCH('Residential Bill_Current_avg'!$A21,Input!$A$21:$A$25,0),MATCH('Residential Bill_Current_avg'!B$13,Input!$B$20:$AL$20,0))</f>
        <v>0</v>
      </c>
      <c r="C21" s="24" t="str">
        <f>IF(Input!F106="Tier 5",($B$7-C17-C18-C19-C20)," ")</f>
        <v xml:space="preserve"> </v>
      </c>
      <c r="D21" s="25" t="str">
        <f t="shared" si="0"/>
        <v xml:space="preserve"> </v>
      </c>
    </row>
    <row r="22" spans="1:4" x14ac:dyDescent="0.55000000000000004">
      <c r="A22" t="s">
        <v>39</v>
      </c>
      <c r="B22" s="16"/>
      <c r="C22" s="24">
        <f>SUM(C17:C21)</f>
        <v>11</v>
      </c>
      <c r="D22" s="26">
        <f>SUM(D17:D21)+D14</f>
        <v>96.52</v>
      </c>
    </row>
    <row r="23" spans="1:4" x14ac:dyDescent="0.55000000000000004">
      <c r="B23" s="16"/>
      <c r="C23" s="17"/>
      <c r="D23" s="19"/>
    </row>
    <row r="24" spans="1:4" x14ac:dyDescent="0.55000000000000004">
      <c r="A24" s="1" t="s">
        <v>34</v>
      </c>
      <c r="B24" s="20" t="s">
        <v>29</v>
      </c>
      <c r="C24" s="21" t="s">
        <v>44</v>
      </c>
      <c r="D24" s="22" t="s">
        <v>30</v>
      </c>
    </row>
    <row r="25" spans="1:4" x14ac:dyDescent="0.55000000000000004">
      <c r="A25" t="str">
        <f>IF($B$9="No",Input!A46,"CAP Discount")</f>
        <v>SRF 1</v>
      </c>
      <c r="B25" s="173">
        <f>INDEX(Input!$C$46:$AM$58,MATCH($A25,Input!$A$46:$A$58,0),MATCH('Residential Bill_Current_avg'!B$13,Input!$C$45:$AM$45,0))</f>
        <v>0.04</v>
      </c>
      <c r="C25" s="31" t="str">
        <f>IF(VLOOKUP(A25,Input!$A$46:$B$58,2,FALSE)="Percentage",'Residential Bill_Current_avg'!$D$22,IF(VLOOKUP(A25,Input!$A$46:$B$58,2,FALSE)="Fixed","Fixed",('Residential Bill_Current_avg'!$C$22)))</f>
        <v>Fixed</v>
      </c>
      <c r="D25" s="25">
        <f t="shared" ref="D25:D37" si="1">ROUND(IF(C25="Fixed",B25,(B25*C25)),2)</f>
        <v>0.04</v>
      </c>
    </row>
    <row r="26" spans="1:4" x14ac:dyDescent="0.55000000000000004">
      <c r="A26" t="str">
        <f>Input!A47</f>
        <v>SRF 2</v>
      </c>
      <c r="B26" s="173">
        <f>INDEX(Input!$C$46:$AM$58,MATCH($A26,Input!$A$46:$A$58,0),MATCH('Residential Bill_Current_avg'!B$13,Input!$C$45:$AM$45,0))</f>
        <v>0.02</v>
      </c>
      <c r="C26" s="31" t="str">
        <f>IF(VLOOKUP(A26,Input!$A$46:$B$58,2,FALSE)="Percentage",'Residential Bill_Current_avg'!$D$22,IF(VLOOKUP(A26,Input!$A$46:$B$58,2,FALSE)="Fixed","Fixed",('Residential Bill_Current_avg'!$C$22)))</f>
        <v>Fixed</v>
      </c>
      <c r="D26" s="25">
        <f t="shared" si="1"/>
        <v>0.02</v>
      </c>
    </row>
    <row r="27" spans="1:4" x14ac:dyDescent="0.55000000000000004">
      <c r="A27" t="str">
        <f>Input!A48</f>
        <v>WRAP</v>
      </c>
      <c r="B27" s="173">
        <f>INDEX(Input!$C$46:$AM$58,MATCH($A27,Input!$A$46:$A$58,0),MATCH('Residential Bill_Current_avg'!B$13,Input!$C$45:$AM$45,0))</f>
        <v>1.45</v>
      </c>
      <c r="C27" s="31" t="str">
        <f>IF(VLOOKUP(A27,Input!$A$46:$B$58,2,FALSE)="Percentage",'Residential Bill_Current_avg'!$D$22,IF(VLOOKUP(A27,Input!$A$46:$B$58,2,FALSE)="Fixed","Fixed",('Residential Bill_Current_avg'!$C$22)))</f>
        <v>Fixed</v>
      </c>
      <c r="D27" s="25">
        <f t="shared" si="1"/>
        <v>1.45</v>
      </c>
    </row>
    <row r="28" spans="1:4" x14ac:dyDescent="0.55000000000000004">
      <c r="A28" t="str">
        <f>Input!A49</f>
        <v>PRVMA</v>
      </c>
      <c r="B28" s="173">
        <f>INDEX(Input!$C$46:$AM$58,MATCH($A28,Input!$A$46:$A$58,0),MATCH('Residential Bill_Current_avg'!B$13,Input!$C$45:$AM$45,0))</f>
        <v>8.8400000000000006E-3</v>
      </c>
      <c r="C28" s="31">
        <f>IF(VLOOKUP(A28,Input!$A$46:$B$58,2,FALSE)="Percentage",'Residential Bill_Current_avg'!$D$22,IF(VLOOKUP(A28,Input!$A$46:$B$58,2,FALSE)="Fixed","Fixed",('Residential Bill_Current_avg'!$C$22)))</f>
        <v>11</v>
      </c>
      <c r="D28" s="25">
        <f t="shared" si="1"/>
        <v>0.1</v>
      </c>
    </row>
    <row r="29" spans="1:4" x14ac:dyDescent="0.55000000000000004">
      <c r="A29" t="str">
        <f>Input!A50</f>
        <v>2022 Surcredit</v>
      </c>
      <c r="B29" s="173">
        <f>INDEX(Input!$C$46:$AM$58,MATCH($A29,Input!$A$46:$A$58,0),MATCH('Residential Bill_Current_avg'!B$13,Input!$C$45:$AM$45,0))</f>
        <v>0</v>
      </c>
      <c r="C29" s="31" t="str">
        <f>IF(VLOOKUP(A29,Input!$A$46:$B$58,2,FALSE)="Percentage",'Residential Bill_Current_avg'!$D$22,IF(VLOOKUP(A29,Input!$A$46:$B$58,2,FALSE)="Fixed","Fixed",('Residential Bill_Current_avg'!$C$22)))</f>
        <v>Fixed</v>
      </c>
      <c r="D29" s="25">
        <f t="shared" si="1"/>
        <v>0</v>
      </c>
    </row>
    <row r="30" spans="1:4" x14ac:dyDescent="0.55000000000000004">
      <c r="A30" t="str">
        <f>Input!A51</f>
        <v>Interim Memo Account Surcharge</v>
      </c>
      <c r="B30" s="173">
        <f>INDEX(Input!$C$46:$AM$58,MATCH($A30,Input!$A$46:$A$58,0),MATCH('Residential Bill_Current_avg'!B$13,Input!$C$45:$AM$45,0))</f>
        <v>0</v>
      </c>
      <c r="C30" s="31">
        <f>IF(VLOOKUP(A30,Input!$A$46:$B$58,2,FALSE)="Percentage",'Residential Bill_Current_avg'!$D$22,IF(VLOOKUP(A30,Input!$A$46:$B$58,2,FALSE)="Fixed","Fixed",('Residential Bill_Current_avg'!$C$22)))</f>
        <v>11</v>
      </c>
      <c r="D30" s="25">
        <f t="shared" si="1"/>
        <v>0</v>
      </c>
    </row>
    <row r="31" spans="1:4" x14ac:dyDescent="0.55000000000000004">
      <c r="A31">
        <f>Input!A52</f>
        <v>0</v>
      </c>
      <c r="B31" s="173">
        <f>INDEX(Input!$C$46:$AM$58,MATCH($A31,Input!$A$46:$A$58,0),MATCH('Residential Bill_Current_avg'!B$13,Input!$C$45:$AM$45,0))</f>
        <v>0</v>
      </c>
      <c r="C31" s="31">
        <f>IF(VLOOKUP(A31,Input!$A$46:$B$58,2,FALSE)="Percentage",'Residential Bill_Current_avg'!$D$22,IF(VLOOKUP(A31,Input!$A$46:$B$58,2,FALSE)="Fixed","Fixed",('Residential Bill_Current_avg'!$C$22)))</f>
        <v>11</v>
      </c>
      <c r="D31" s="25">
        <f t="shared" si="1"/>
        <v>0</v>
      </c>
    </row>
    <row r="32" spans="1:4" x14ac:dyDescent="0.55000000000000004">
      <c r="A32">
        <f>Input!A53</f>
        <v>0</v>
      </c>
      <c r="B32" s="173">
        <f>INDEX(Input!$C$46:$AM$58,MATCH($A32,Input!$A$46:$A$58,0),MATCH('Residential Bill_Current_avg'!B$13,Input!$C$45:$AM$45,0))</f>
        <v>0</v>
      </c>
      <c r="C32" s="31">
        <f>IF(VLOOKUP(A32,Input!$A$46:$B$58,2,FALSE)="Percentage",'Residential Bill_Current_avg'!$D$22,IF(VLOOKUP(A32,Input!$A$46:$B$58,2,FALSE)="Fixed","Fixed",('Residential Bill_Current_avg'!$C$22)))</f>
        <v>11</v>
      </c>
      <c r="D32" s="25">
        <f t="shared" si="1"/>
        <v>0</v>
      </c>
    </row>
    <row r="33" spans="1:4" x14ac:dyDescent="0.55000000000000004">
      <c r="A33">
        <f>Input!A54</f>
        <v>0</v>
      </c>
      <c r="B33" s="173">
        <f>INDEX(Input!$C$46:$AM$58,MATCH($A33,Input!$A$46:$A$58,0),MATCH('Residential Bill_Current_avg'!B$13,Input!$C$45:$AM$45,0))</f>
        <v>0</v>
      </c>
      <c r="C33" s="31">
        <f>IF(VLOOKUP(A33,Input!$A$46:$B$58,2,FALSE)="Percentage",'Residential Bill_Current_avg'!$D$22,IF(VLOOKUP(A33,Input!$A$46:$B$58,2,FALSE)="Fixed","Fixed",('Residential Bill_Current_avg'!$C$22)))</f>
        <v>11</v>
      </c>
      <c r="D33" s="25">
        <f t="shared" si="1"/>
        <v>0</v>
      </c>
    </row>
    <row r="34" spans="1:4" x14ac:dyDescent="0.55000000000000004">
      <c r="A34">
        <f>Input!A55</f>
        <v>0</v>
      </c>
      <c r="B34" s="173">
        <f>INDEX(Input!$C$46:$AM$58,MATCH($A34,Input!$A$46:$A$58,0),MATCH('Residential Bill_Current_avg'!B$13,Input!$C$45:$AM$45,0))</f>
        <v>0</v>
      </c>
      <c r="C34" s="31">
        <f>IF(VLOOKUP(A34,Input!$A$46:$B$58,2,FALSE)="Percentage",'Residential Bill_Current_avg'!$D$22,IF(VLOOKUP(A34,Input!$A$46:$B$58,2,FALSE)="Fixed","Fixed",('Residential Bill_Current_avg'!$C$22)))</f>
        <v>11</v>
      </c>
      <c r="D34" s="25">
        <f t="shared" si="1"/>
        <v>0</v>
      </c>
    </row>
    <row r="35" spans="1:4" x14ac:dyDescent="0.55000000000000004">
      <c r="A35">
        <f>Input!A56</f>
        <v>0</v>
      </c>
      <c r="B35" s="173">
        <f>INDEX(Input!$C$46:$AM$58,MATCH($A35,Input!$A$46:$A$58,0),MATCH('Residential Bill_Current_avg'!B$13,Input!$C$45:$AM$45,0))</f>
        <v>0</v>
      </c>
      <c r="C35" s="31">
        <f>IF(VLOOKUP(A35,Input!$A$46:$B$58,2,FALSE)="Percentage",'Residential Bill_Current_avg'!$D$22,IF(VLOOKUP(A35,Input!$A$46:$B$58,2,FALSE)="Fixed","Fixed",('Residential Bill_Current_avg'!$C$22)))</f>
        <v>11</v>
      </c>
      <c r="D35" s="25">
        <f t="shared" si="1"/>
        <v>0</v>
      </c>
    </row>
    <row r="36" spans="1:4" x14ac:dyDescent="0.55000000000000004">
      <c r="A36">
        <f>Input!A57</f>
        <v>0</v>
      </c>
      <c r="B36" s="173">
        <f>INDEX(Input!$C$46:$AM$58,MATCH($A36,Input!$A$46:$A$58,0),MATCH('Residential Bill_Current_avg'!B$13,Input!$C$45:$AM$45,0))</f>
        <v>0</v>
      </c>
      <c r="C36" s="31">
        <f>IF(VLOOKUP(A36,Input!$A$46:$B$58,2,FALSE)="Percentage",'Residential Bill_Current_avg'!$D$22,IF(VLOOKUP(A36,Input!$A$46:$B$58,2,FALSE)="Fixed","Fixed",('Residential Bill_Current_avg'!$C$22)))</f>
        <v>11</v>
      </c>
      <c r="D36" s="25">
        <f t="shared" si="1"/>
        <v>0</v>
      </c>
    </row>
    <row r="37" spans="1:4" x14ac:dyDescent="0.55000000000000004">
      <c r="A37">
        <f>Input!A58</f>
        <v>0</v>
      </c>
      <c r="B37" s="173">
        <f>INDEX(Input!$C$46:$AM$58,MATCH($A37,Input!$A$46:$A$58,0),MATCH('Residential Bill_Current_avg'!B$13,Input!$C$45:$AM$45,0))</f>
        <v>0</v>
      </c>
      <c r="C37" s="31">
        <f>IF(VLOOKUP(A37,Input!$A$46:$B$58,2,FALSE)="Percentage",'Residential Bill_Current_avg'!$D$22,IF(VLOOKUP(A37,Input!$A$46:$B$58,2,FALSE)="Fixed","Fixed",('Residential Bill_Current_avg'!$C$22)))</f>
        <v>11</v>
      </c>
      <c r="D37" s="25">
        <f t="shared" si="1"/>
        <v>0</v>
      </c>
    </row>
    <row r="38" spans="1:4" x14ac:dyDescent="0.55000000000000004">
      <c r="A38" t="s">
        <v>39</v>
      </c>
      <c r="B38" s="16"/>
      <c r="C38" s="17"/>
      <c r="D38" s="26">
        <f>SUM(D25:D37)</f>
        <v>1.61</v>
      </c>
    </row>
    <row r="39" spans="1:4" x14ac:dyDescent="0.55000000000000004">
      <c r="B39" s="16"/>
      <c r="C39" s="17"/>
      <c r="D39" s="19"/>
    </row>
    <row r="40" spans="1:4" x14ac:dyDescent="0.55000000000000004">
      <c r="A40" s="1" t="s">
        <v>35</v>
      </c>
      <c r="B40" s="20" t="s">
        <v>29</v>
      </c>
      <c r="C40" s="21" t="s">
        <v>45</v>
      </c>
      <c r="D40" s="22" t="s">
        <v>30</v>
      </c>
    </row>
    <row r="41" spans="1:4" x14ac:dyDescent="0.55000000000000004">
      <c r="A41" t="str">
        <f>+Input!A77</f>
        <v>CPUC Fee</v>
      </c>
      <c r="B41" s="29">
        <f>INDEX(Input!$B$77:$AL$82,MATCH('Residential Bill_Current_avg'!$A$41,Input!$A$77:$A$82,0),MATCH('Residential Bill_Current_avg'!B13:D13,Input!$B$76:$AL$76,0))</f>
        <v>1.43E-2</v>
      </c>
      <c r="C41" s="30">
        <f>D22+D38</f>
        <v>98.13</v>
      </c>
      <c r="D41" s="25">
        <f>ROUND(B41*C41,2)</f>
        <v>1.4</v>
      </c>
    </row>
    <row r="42" spans="1:4" x14ac:dyDescent="0.55000000000000004">
      <c r="A42" t="str">
        <f>+Input!A78</f>
        <v>CSJ UTT</v>
      </c>
      <c r="B42" s="29">
        <f>INDEX(Input!$B$77:$AL$82,MATCH('Residential Bill_Current_avg'!$A$42,Input!$A$77:$A$82,0),MATCH('Residential Bill_Current_avg'!B13,Input!$B$76:$AL$76,0))</f>
        <v>0.05</v>
      </c>
      <c r="C42" s="30">
        <f>D22+D38+D41</f>
        <v>99.53</v>
      </c>
      <c r="D42" s="25">
        <f>ROUND(B42*C42,2)</f>
        <v>4.9800000000000004</v>
      </c>
    </row>
    <row r="43" spans="1:4" x14ac:dyDescent="0.55000000000000004">
      <c r="A43" t="str">
        <f>+Input!A79</f>
        <v>Reserved</v>
      </c>
      <c r="B43" s="29"/>
      <c r="C43" s="17"/>
      <c r="D43" s="19"/>
    </row>
    <row r="44" spans="1:4" x14ac:dyDescent="0.55000000000000004">
      <c r="A44" t="str">
        <f>+Input!A80</f>
        <v>Reserved</v>
      </c>
      <c r="B44" s="29"/>
      <c r="C44" s="17"/>
      <c r="D44" s="19"/>
    </row>
    <row r="45" spans="1:4" x14ac:dyDescent="0.55000000000000004">
      <c r="A45" t="str">
        <f>+Input!A81</f>
        <v>Reserved</v>
      </c>
      <c r="B45" s="29"/>
      <c r="C45" s="17"/>
      <c r="D45" s="19"/>
    </row>
    <row r="46" spans="1:4" x14ac:dyDescent="0.55000000000000004">
      <c r="A46" t="str">
        <f>+Input!A82</f>
        <v>Reserved</v>
      </c>
      <c r="B46" s="29"/>
      <c r="C46" s="17"/>
      <c r="D46" s="19"/>
    </row>
    <row r="47" spans="1:4" x14ac:dyDescent="0.55000000000000004">
      <c r="A47" t="s">
        <v>39</v>
      </c>
      <c r="B47" s="16"/>
      <c r="C47" s="17"/>
      <c r="D47" s="25"/>
    </row>
    <row r="48" spans="1:4" x14ac:dyDescent="0.55000000000000004">
      <c r="B48" s="16"/>
      <c r="C48" s="17"/>
      <c r="D48" s="19"/>
    </row>
    <row r="49" spans="1:4" ht="14.7" thickBot="1" x14ac:dyDescent="0.6">
      <c r="A49" t="s">
        <v>40</v>
      </c>
      <c r="B49" s="27"/>
      <c r="C49" s="28"/>
      <c r="D49" s="32">
        <f>D22+D38+D41+D42</f>
        <v>104.51</v>
      </c>
    </row>
    <row r="51" spans="1:4" x14ac:dyDescent="0.55000000000000004">
      <c r="A51" t="s">
        <v>81</v>
      </c>
    </row>
    <row r="52" spans="1:4" ht="14.7" thickBot="1" x14ac:dyDescent="0.6"/>
    <row r="53" spans="1:4" x14ac:dyDescent="0.55000000000000004">
      <c r="A53" s="11" t="s">
        <v>83</v>
      </c>
      <c r="B53" s="12">
        <f>YEAR(Input!B4)</f>
        <v>2022</v>
      </c>
    </row>
    <row r="54" spans="1:4" x14ac:dyDescent="0.55000000000000004">
      <c r="A54" s="13" t="s">
        <v>6</v>
      </c>
      <c r="B54" s="57" t="s">
        <v>14</v>
      </c>
      <c r="C54" s="37" t="s">
        <v>37</v>
      </c>
    </row>
    <row r="55" spans="1:4" x14ac:dyDescent="0.55000000000000004">
      <c r="A55" s="13" t="s">
        <v>41</v>
      </c>
      <c r="B55" s="14">
        <f>Input!D5</f>
        <v>11</v>
      </c>
    </row>
    <row r="56" spans="1:4" x14ac:dyDescent="0.55000000000000004">
      <c r="A56" s="13" t="s">
        <v>8</v>
      </c>
      <c r="B56" s="14" t="s">
        <v>24</v>
      </c>
    </row>
    <row r="57" spans="1:4" x14ac:dyDescent="0.55000000000000004">
      <c r="A57" s="13" t="s">
        <v>89</v>
      </c>
      <c r="B57" s="14" t="s">
        <v>26</v>
      </c>
    </row>
    <row r="58" spans="1:4" x14ac:dyDescent="0.55000000000000004">
      <c r="A58" s="13" t="s">
        <v>51</v>
      </c>
      <c r="B58" s="14" t="str">
        <f>VLOOKUP(B59,Input!$A$86:$B$92,2,FALSE)</f>
        <v>San Jose Water Company</v>
      </c>
    </row>
    <row r="59" spans="1:4" ht="14.7" thickBot="1" x14ac:dyDescent="0.6">
      <c r="A59" s="15" t="s">
        <v>28</v>
      </c>
      <c r="B59" s="35" t="str">
        <f>B11</f>
        <v>San Jose Water Company</v>
      </c>
    </row>
    <row r="60" spans="1:4" ht="14.7" thickBot="1" x14ac:dyDescent="0.6">
      <c r="A60" s="34"/>
      <c r="B60" s="24"/>
    </row>
    <row r="61" spans="1:4" ht="14.7" thickBot="1" x14ac:dyDescent="0.6">
      <c r="A61" s="1"/>
      <c r="B61" s="209" t="str">
        <f>Input!$B$13</f>
        <v>January 2022</v>
      </c>
      <c r="C61" s="210"/>
      <c r="D61" s="211"/>
    </row>
    <row r="62" spans="1:4" x14ac:dyDescent="0.55000000000000004">
      <c r="A62" s="1" t="s">
        <v>5</v>
      </c>
      <c r="B62" s="16"/>
      <c r="C62" s="17"/>
      <c r="D62" s="18">
        <f>INDEX(Input!$B$28:$AL$42,MATCH('Residential Bill_Current_avg'!$B$54,Input!$A$28:$A$42,0),MATCH('Residential Bill_Current_avg'!B$61,Input!$B$27:$AL$27,0))</f>
        <v>41.69</v>
      </c>
    </row>
    <row r="63" spans="1:4" x14ac:dyDescent="0.55000000000000004">
      <c r="B63" s="16"/>
      <c r="C63" s="17"/>
      <c r="D63" s="19"/>
    </row>
    <row r="64" spans="1:4" ht="16.5" customHeight="1" x14ac:dyDescent="0.55000000000000004">
      <c r="A64" s="1" t="s">
        <v>33</v>
      </c>
      <c r="B64" s="20" t="s">
        <v>29</v>
      </c>
      <c r="C64" s="21" t="s">
        <v>7</v>
      </c>
      <c r="D64" s="22" t="s">
        <v>30</v>
      </c>
    </row>
    <row r="65" spans="1:4" x14ac:dyDescent="0.55000000000000004">
      <c r="A65" t="str">
        <f>A17</f>
        <v>Tier 1</v>
      </c>
      <c r="B65" s="23">
        <f>INDEX(Input!$B$21:$AL$25,MATCH('Residential Bill_Current_avg'!$A65,Input!$A$21:$A$25,0),MATCH('Residential Bill_Current_avg'!B$61,Input!$B$20:$AL$20,0))</f>
        <v>3.7563</v>
      </c>
      <c r="C65" s="24">
        <f>IF($B$55&gt;Input!F108,Input!F108,$B$55)</f>
        <v>3</v>
      </c>
      <c r="D65" s="25">
        <f>ROUND(IFERROR(B65*C65," "),2)</f>
        <v>11.27</v>
      </c>
    </row>
    <row r="66" spans="1:4" x14ac:dyDescent="0.55000000000000004">
      <c r="A66" t="str">
        <f>A18</f>
        <v>Tier 2</v>
      </c>
      <c r="B66" s="23">
        <f>INDEX(Input!$B$21:$AL$25,MATCH('Residential Bill_Current_avg'!$A66,Input!$A$21:$A$25,0),MATCH('Residential Bill_Current_avg'!B$61,Input!$B$20:$AL$20,0))</f>
        <v>5.4452999999999996</v>
      </c>
      <c r="C66" s="24">
        <f>IF(($B$55-C65)&gt;Input!F109,Input!F109,($B$55-C65))</f>
        <v>8</v>
      </c>
      <c r="D66" s="25">
        <f>ROUND(IFERROR(B66*C66," "),2)</f>
        <v>43.56</v>
      </c>
    </row>
    <row r="67" spans="1:4" x14ac:dyDescent="0.55000000000000004">
      <c r="A67" t="str">
        <f>A19</f>
        <v>Tier 3</v>
      </c>
      <c r="B67" s="23">
        <f>INDEX(Input!$B$21:$AL$25,MATCH('Residential Bill_Current_avg'!$A67,Input!$A$21:$A$25,0),MATCH('Residential Bill_Current_avg'!B$61,Input!$B$20:$AL$20,0))</f>
        <v>7.1337999999999999</v>
      </c>
      <c r="C67" s="24">
        <f>IF(OR(Input!F128="Tier 4",Input!F128="Tier 5"),IF(($B$55-C65-C66)&gt;Input!F110,Input!F110,($B$55-C65-C66)),($B$55-C65-C66))</f>
        <v>0</v>
      </c>
      <c r="D67" s="25">
        <f>ROUND(IFERROR(B67*C67," "),2)</f>
        <v>0</v>
      </c>
    </row>
    <row r="68" spans="1:4" ht="14.5" customHeight="1" x14ac:dyDescent="0.55000000000000004">
      <c r="A68" t="str">
        <f>A20</f>
        <v>Tier 4</v>
      </c>
      <c r="B68" s="23">
        <f>INDEX(Input!$B$21:$AL$25,MATCH('Residential Bill_Current_avg'!$A68,Input!$A$21:$A$25,0),MATCH('Residential Bill_Current_avg'!B$61,Input!$B$20:$AL$20,0))</f>
        <v>0</v>
      </c>
      <c r="C68" s="24" t="str">
        <f>IF(Input!F128="Tier 4",($B$55-C65-C66-C67),IF(Input!F128="Tier 5",IF(($B$55-C65-C66-C67)&gt;Input!F133,Input!F133,($B$55-C65-C66-C67))," "))</f>
        <v xml:space="preserve"> </v>
      </c>
      <c r="D68" s="25" t="str">
        <f t="shared" ref="D68:D69" si="2">IFERROR(B68*C68," ")</f>
        <v xml:space="preserve"> </v>
      </c>
    </row>
    <row r="69" spans="1:4" ht="14.5" customHeight="1" x14ac:dyDescent="0.55000000000000004">
      <c r="A69" t="str">
        <f>A21</f>
        <v>Tier 5</v>
      </c>
      <c r="B69" s="23">
        <f>INDEX(Input!$B$21:$AL$25,MATCH('Residential Bill_Current_avg'!$A69,Input!$A$21:$A$25,0),MATCH('Residential Bill_Current_avg'!B$61,Input!$B$20:$AL$20,0))</f>
        <v>0</v>
      </c>
      <c r="C69" s="24" t="str">
        <f>IF(Input!F128="Tier 5",($B$55-C65-C66-C67-C68)," ")</f>
        <v xml:space="preserve"> </v>
      </c>
      <c r="D69" s="25" t="str">
        <f t="shared" si="2"/>
        <v xml:space="preserve"> </v>
      </c>
    </row>
    <row r="70" spans="1:4" x14ac:dyDescent="0.55000000000000004">
      <c r="A70" t="s">
        <v>39</v>
      </c>
      <c r="B70" s="16"/>
      <c r="C70" s="24">
        <f>SUM(C65:C69)</f>
        <v>11</v>
      </c>
      <c r="D70" s="26">
        <f>SUM(D65:D69)+D62</f>
        <v>96.52</v>
      </c>
    </row>
    <row r="71" spans="1:4" x14ac:dyDescent="0.55000000000000004">
      <c r="B71" s="16"/>
      <c r="C71" s="17"/>
      <c r="D71" s="19"/>
    </row>
    <row r="72" spans="1:4" x14ac:dyDescent="0.55000000000000004">
      <c r="A72" s="1" t="s">
        <v>34</v>
      </c>
      <c r="B72" s="20" t="s">
        <v>29</v>
      </c>
      <c r="C72" s="21" t="s">
        <v>44</v>
      </c>
      <c r="D72" s="22" t="s">
        <v>30</v>
      </c>
    </row>
    <row r="73" spans="1:4" s="44" customFormat="1" x14ac:dyDescent="0.55000000000000004">
      <c r="A73" s="44" t="str">
        <f t="shared" ref="A73:A85" si="3">A25</f>
        <v>SRF 1</v>
      </c>
      <c r="B73" s="173">
        <f>INDEX(Input!$C$62:$AM$74,MATCH($A73,Input!$A$62:$A$74,0),MATCH('Residential Bill_Current_avg'!B$61,Input!$C$61:$AM$61,0))</f>
        <v>0.04</v>
      </c>
      <c r="C73" s="31" t="str">
        <f>IF(VLOOKUP(A73,Input!$A$62:$B$74,2,FALSE)="Percentage",'Residential Bill_Current_avg'!$D$70,IF(VLOOKUP(A73,Input!$A$62:$B$74,2,FALSE)="Fixed","Fixed",('Residential Bill_Current_avg'!$C$70)))</f>
        <v>Fixed</v>
      </c>
      <c r="D73" s="25">
        <f t="shared" ref="D73:D85" si="4">ROUND(IF(C73="Fixed",B73,(B73*C73)),2)</f>
        <v>0.04</v>
      </c>
    </row>
    <row r="74" spans="1:4" x14ac:dyDescent="0.55000000000000004">
      <c r="A74" t="str">
        <f t="shared" si="3"/>
        <v>SRF 2</v>
      </c>
      <c r="B74" s="173">
        <f>INDEX(Input!$C$62:$AM$74,MATCH($A74,Input!$A$62:$A$74,0),MATCH('Residential Bill_Current_avg'!B$61,Input!$C$61:$AM$61,0))</f>
        <v>0.02</v>
      </c>
      <c r="C74" s="31" t="str">
        <f>IF(VLOOKUP(A74,Input!$A$62:$B$74,2,FALSE)="Percentage",'Residential Bill_Current_avg'!$D$70,IF(VLOOKUP(A74,Input!$A$62:$B$74,2,FALSE)="Fixed","Fixed",('Residential Bill_Current_avg'!$C$70)))</f>
        <v>Fixed</v>
      </c>
      <c r="D74" s="25">
        <f t="shared" si="4"/>
        <v>0.02</v>
      </c>
    </row>
    <row r="75" spans="1:4" x14ac:dyDescent="0.55000000000000004">
      <c r="A75" t="str">
        <f t="shared" si="3"/>
        <v>WRAP</v>
      </c>
      <c r="B75" s="173">
        <f>INDEX(Input!$C$62:$AM$74,MATCH($A75,Input!$A$62:$A$74,0),MATCH('Residential Bill_Current_avg'!B$61,Input!$C$61:$AM$61,0))</f>
        <v>-0.15</v>
      </c>
      <c r="C75" s="31">
        <f>IF(VLOOKUP(A75,Input!$A$62:$B$74,2,FALSE)="Percentage",'Residential Bill_Current_avg'!$D$70,IF(VLOOKUP(A75,Input!$A$62:$B$74,2,FALSE)="Fixed","Fixed",('Residential Bill_Current_avg'!$C$70)))</f>
        <v>96.52</v>
      </c>
      <c r="D75" s="25">
        <f t="shared" si="4"/>
        <v>-14.48</v>
      </c>
    </row>
    <row r="76" spans="1:4" x14ac:dyDescent="0.55000000000000004">
      <c r="A76" t="str">
        <f t="shared" si="3"/>
        <v>PRVMA</v>
      </c>
      <c r="B76" s="173">
        <f>INDEX(Input!$C$62:$AM$74,MATCH($A76,Input!$A$62:$A$74,0),MATCH('Residential Bill_Current_avg'!B$61,Input!$C$61:$AM$61,0))</f>
        <v>8.8400000000000006E-3</v>
      </c>
      <c r="C76" s="31">
        <f>IF(VLOOKUP(A76,Input!$A$62:$B$74,2,FALSE)="Percentage",'Residential Bill_Current_avg'!$D$70,IF(VLOOKUP(A76,Input!$A$62:$B$74,2,FALSE)="Fixed","Fixed",('Residential Bill_Current_avg'!$C$70)))</f>
        <v>11</v>
      </c>
      <c r="D76" s="25">
        <f t="shared" si="4"/>
        <v>0.1</v>
      </c>
    </row>
    <row r="77" spans="1:4" x14ac:dyDescent="0.55000000000000004">
      <c r="A77" t="str">
        <f t="shared" si="3"/>
        <v>2022 Surcredit</v>
      </c>
      <c r="B77" s="173">
        <f>INDEX(Input!$C$62:$AM$74,MATCH($A77,Input!$A$62:$A$74,0),MATCH('Residential Bill_Current_avg'!B$61,Input!$C$61:$AM$61,0))</f>
        <v>0</v>
      </c>
      <c r="C77" s="31" t="str">
        <f>IF(VLOOKUP(A77,Input!$A$62:$B$74,2,FALSE)="Percentage",'Residential Bill_Current_avg'!$D$70,IF(VLOOKUP(A77,Input!$A$62:$B$74,2,FALSE)="Fixed","Fixed",('Residential Bill_Current_avg'!$C$70)))</f>
        <v>Fixed</v>
      </c>
      <c r="D77" s="25">
        <f t="shared" si="4"/>
        <v>0</v>
      </c>
    </row>
    <row r="78" spans="1:4" x14ac:dyDescent="0.55000000000000004">
      <c r="A78" t="str">
        <f t="shared" si="3"/>
        <v>Interim Memo Account Surcharge</v>
      </c>
      <c r="B78" s="173">
        <f>INDEX(Input!$C$62:$AM$74,MATCH($A78,Input!$A$62:$A$74,0),MATCH('Residential Bill_Current_avg'!B$61,Input!$C$61:$AM$61,0))</f>
        <v>0</v>
      </c>
      <c r="C78" s="31">
        <f>IF(VLOOKUP(A78,Input!$A$62:$B$74,2,FALSE)="Percentage",'Residential Bill_Current_avg'!$D$70,IF(VLOOKUP(A78,Input!$A$62:$B$74,2,FALSE)="Fixed","Fixed",('Residential Bill_Current_avg'!$C$70)))</f>
        <v>11</v>
      </c>
      <c r="D78" s="25">
        <f t="shared" si="4"/>
        <v>0</v>
      </c>
    </row>
    <row r="79" spans="1:4" x14ac:dyDescent="0.55000000000000004">
      <c r="A79">
        <f t="shared" si="3"/>
        <v>0</v>
      </c>
      <c r="B79" s="173">
        <f>INDEX(Input!$C$62:$AM$74,MATCH($A79,Input!$A$62:$A$74,0),MATCH('Residential Bill_Current_avg'!B$61,Input!$C$61:$AM$61,0))</f>
        <v>0</v>
      </c>
      <c r="C79" s="31">
        <f>IF(VLOOKUP(A79,Input!$A$62:$B$74,2,FALSE)="Percentage",'Residential Bill_Current_avg'!$D$70,IF(VLOOKUP(A79,Input!$A$62:$B$74,2,FALSE)="Fixed","Fixed",('Residential Bill_Current_avg'!$C$70)))</f>
        <v>11</v>
      </c>
      <c r="D79" s="25">
        <f t="shared" si="4"/>
        <v>0</v>
      </c>
    </row>
    <row r="80" spans="1:4" x14ac:dyDescent="0.55000000000000004">
      <c r="A80">
        <f t="shared" si="3"/>
        <v>0</v>
      </c>
      <c r="B80" s="173">
        <f>INDEX(Input!$C$62:$AM$74,MATCH($A80,Input!$A$62:$A$74,0),MATCH('Residential Bill_Current_avg'!B$61,Input!$C$61:$AM$61,0))</f>
        <v>0</v>
      </c>
      <c r="C80" s="31">
        <f>IF(VLOOKUP(A80,Input!$A$62:$B$74,2,FALSE)="Percentage",'Residential Bill_Current_avg'!$D$70,IF(VLOOKUP(A80,Input!$A$62:$B$74,2,FALSE)="Fixed","Fixed",('Residential Bill_Current_avg'!$C$70)))</f>
        <v>11</v>
      </c>
      <c r="D80" s="25">
        <f t="shared" si="4"/>
        <v>0</v>
      </c>
    </row>
    <row r="81" spans="1:4" x14ac:dyDescent="0.55000000000000004">
      <c r="A81">
        <f t="shared" si="3"/>
        <v>0</v>
      </c>
      <c r="B81" s="173">
        <f>INDEX(Input!$C$62:$AM$74,MATCH($A81,Input!$A$62:$A$74,0),MATCH('Residential Bill_Current_avg'!B$61,Input!$C$61:$AM$61,0))</f>
        <v>0</v>
      </c>
      <c r="C81" s="31">
        <f>IF(VLOOKUP(A81,Input!$A$62:$B$74,2,FALSE)="Percentage",'Residential Bill_Current_avg'!$D$70,IF(VLOOKUP(A81,Input!$A$62:$B$74,2,FALSE)="Fixed","Fixed",('Residential Bill_Current_avg'!$C$70)))</f>
        <v>11</v>
      </c>
      <c r="D81" s="25">
        <f t="shared" si="4"/>
        <v>0</v>
      </c>
    </row>
    <row r="82" spans="1:4" x14ac:dyDescent="0.55000000000000004">
      <c r="A82">
        <f t="shared" si="3"/>
        <v>0</v>
      </c>
      <c r="B82" s="173">
        <f>INDEX(Input!$C$62:$AM$74,MATCH($A82,Input!$A$62:$A$74,0),MATCH('Residential Bill_Current_avg'!B$61,Input!$C$61:$AM$61,0))</f>
        <v>0</v>
      </c>
      <c r="C82" s="31">
        <f>IF(VLOOKUP(A82,Input!$A$62:$B$74,2,FALSE)="Percentage",'Residential Bill_Current_avg'!$D$70,IF(VLOOKUP(A82,Input!$A$62:$B$74,2,FALSE)="Fixed","Fixed",('Residential Bill_Current_avg'!$C$70)))</f>
        <v>11</v>
      </c>
      <c r="D82" s="25">
        <f t="shared" si="4"/>
        <v>0</v>
      </c>
    </row>
    <row r="83" spans="1:4" x14ac:dyDescent="0.55000000000000004">
      <c r="A83">
        <f t="shared" si="3"/>
        <v>0</v>
      </c>
      <c r="B83" s="173">
        <f>INDEX(Input!$C$62:$AM$74,MATCH($A83,Input!$A$62:$A$74,0),MATCH('Residential Bill_Current_avg'!B$61,Input!$C$61:$AM$61,0))</f>
        <v>0</v>
      </c>
      <c r="C83" s="31">
        <f>IF(VLOOKUP(A83,Input!$A$62:$B$74,2,FALSE)="Percentage",'Residential Bill_Current_avg'!$D$70,IF(VLOOKUP(A83,Input!$A$62:$B$74,2,FALSE)="Fixed","Fixed",('Residential Bill_Current_avg'!$C$70)))</f>
        <v>11</v>
      </c>
      <c r="D83" s="25">
        <f t="shared" si="4"/>
        <v>0</v>
      </c>
    </row>
    <row r="84" spans="1:4" x14ac:dyDescent="0.55000000000000004">
      <c r="A84">
        <f t="shared" si="3"/>
        <v>0</v>
      </c>
      <c r="B84" s="173">
        <f>INDEX(Input!$C$62:$AM$74,MATCH($A84,Input!$A$62:$A$74,0),MATCH('Residential Bill_Current_avg'!B$61,Input!$C$61:$AM$61,0))</f>
        <v>0</v>
      </c>
      <c r="C84" s="31">
        <f>IF(VLOOKUP(A84,Input!$A$62:$B$74,2,FALSE)="Percentage",'Residential Bill_Current_avg'!$D$70,IF(VLOOKUP(A84,Input!$A$62:$B$74,2,FALSE)="Fixed","Fixed",('Residential Bill_Current_avg'!$C$70)))</f>
        <v>11</v>
      </c>
      <c r="D84" s="25">
        <f t="shared" si="4"/>
        <v>0</v>
      </c>
    </row>
    <row r="85" spans="1:4" x14ac:dyDescent="0.55000000000000004">
      <c r="A85">
        <f t="shared" si="3"/>
        <v>0</v>
      </c>
      <c r="B85" s="173">
        <f>INDEX(Input!$C$62:$AM$74,MATCH($A85,Input!$A$62:$A$74,0),MATCH('Residential Bill_Current_avg'!B$61,Input!$C$61:$AM$61,0))</f>
        <v>0</v>
      </c>
      <c r="C85" s="31">
        <f>IF(VLOOKUP(A85,Input!$A$62:$B$74,2,FALSE)="Percentage",'Residential Bill_Current_avg'!$D$70,IF(VLOOKUP(A85,Input!$A$62:$B$74,2,FALSE)="Fixed","Fixed",('Residential Bill_Current_avg'!$C$70)))</f>
        <v>11</v>
      </c>
      <c r="D85" s="25">
        <f t="shared" si="4"/>
        <v>0</v>
      </c>
    </row>
    <row r="86" spans="1:4" x14ac:dyDescent="0.55000000000000004">
      <c r="A86" t="s">
        <v>39</v>
      </c>
      <c r="B86" s="16"/>
      <c r="C86" s="17"/>
      <c r="D86" s="26">
        <f>SUM(D73:D85)</f>
        <v>-14.32</v>
      </c>
    </row>
    <row r="87" spans="1:4" x14ac:dyDescent="0.55000000000000004">
      <c r="B87" s="16"/>
      <c r="C87" s="17"/>
      <c r="D87" s="19"/>
    </row>
    <row r="88" spans="1:4" x14ac:dyDescent="0.55000000000000004">
      <c r="A88" s="1" t="s">
        <v>35</v>
      </c>
      <c r="B88" s="20" t="s">
        <v>29</v>
      </c>
      <c r="C88" s="21" t="s">
        <v>45</v>
      </c>
      <c r="D88" s="22" t="s">
        <v>30</v>
      </c>
    </row>
    <row r="89" spans="1:4" x14ac:dyDescent="0.55000000000000004">
      <c r="A89" t="str">
        <f>A41</f>
        <v>CPUC Fee</v>
      </c>
      <c r="B89" s="29">
        <f>INDEX(Input!$B$77:$AL$82,MATCH('Residential Bill_Current_avg'!$A$41,Input!$A$77:$A$82,0),MATCH('Residential Bill_Current_avg'!B61:D61,Input!$B$76:$AL$76,0))</f>
        <v>1.43E-2</v>
      </c>
      <c r="C89" s="30">
        <f>D70+D86</f>
        <v>82.199999999999989</v>
      </c>
      <c r="D89" s="25">
        <f>ROUND(B89*C89,2)</f>
        <v>1.18</v>
      </c>
    </row>
    <row r="90" spans="1:4" ht="14.5" customHeight="1" x14ac:dyDescent="0.55000000000000004">
      <c r="A90" t="str">
        <f>A42</f>
        <v>CSJ UTT</v>
      </c>
      <c r="B90" s="29">
        <f>INDEX(Input!$B$77:$AL$82,MATCH('Residential Bill_Current_avg'!$A$42,Input!$A$77:$A$82,0),MATCH('Residential Bill_Current_avg'!B61,Input!$B$76:$AL$76,0))</f>
        <v>0.05</v>
      </c>
      <c r="C90" s="30">
        <f>D70+D86+D89</f>
        <v>83.38</v>
      </c>
      <c r="D90" s="25">
        <f>ROUND(B90*C90,2)</f>
        <v>4.17</v>
      </c>
    </row>
    <row r="91" spans="1:4" ht="14.5" customHeight="1" x14ac:dyDescent="0.55000000000000004">
      <c r="A91">
        <f>+Input!A123</f>
        <v>0</v>
      </c>
      <c r="B91" s="29"/>
      <c r="C91" s="17"/>
      <c r="D91" s="19"/>
    </row>
    <row r="92" spans="1:4" ht="14.5" customHeight="1" x14ac:dyDescent="0.55000000000000004">
      <c r="A92">
        <f>+Input!A124</f>
        <v>0</v>
      </c>
      <c r="B92" s="29"/>
      <c r="C92" s="17"/>
      <c r="D92" s="19"/>
    </row>
    <row r="93" spans="1:4" ht="14.5" customHeight="1" x14ac:dyDescent="0.55000000000000004">
      <c r="A93">
        <f>+Input!A125</f>
        <v>0</v>
      </c>
      <c r="B93" s="29"/>
      <c r="C93" s="17"/>
      <c r="D93" s="19"/>
    </row>
    <row r="94" spans="1:4" ht="14.5" customHeight="1" x14ac:dyDescent="0.55000000000000004">
      <c r="A94">
        <f>+Input!A126</f>
        <v>0</v>
      </c>
      <c r="B94" s="29"/>
      <c r="C94" s="17"/>
      <c r="D94" s="19"/>
    </row>
    <row r="95" spans="1:4" x14ac:dyDescent="0.55000000000000004">
      <c r="A95" t="s">
        <v>39</v>
      </c>
      <c r="B95" s="16"/>
      <c r="C95" s="17"/>
      <c r="D95" s="25"/>
    </row>
    <row r="96" spans="1:4" x14ac:dyDescent="0.55000000000000004">
      <c r="B96" s="16"/>
      <c r="C96" s="17"/>
      <c r="D96" s="19"/>
    </row>
    <row r="97" spans="1:4" ht="14.7" thickBot="1" x14ac:dyDescent="0.6">
      <c r="A97" t="s">
        <v>40</v>
      </c>
      <c r="B97" s="27"/>
      <c r="C97" s="28"/>
      <c r="D97" s="32">
        <f>D70+D86+D89+D90</f>
        <v>87.55</v>
      </c>
    </row>
    <row r="99" spans="1:4" x14ac:dyDescent="0.55000000000000004">
      <c r="A99" t="s">
        <v>81</v>
      </c>
    </row>
  </sheetData>
  <mergeCells count="2">
    <mergeCell ref="B61:D61"/>
    <mergeCell ref="B13:D13"/>
  </mergeCell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5" id="{ADAA4CED-8896-477B-ACFC-10B7BA21BDBA}">
            <xm:f>OR(Input!$B46="Fixed",Input!$B46="Volumetric")</xm:f>
            <x14:dxf>
              <numFmt numFmtId="171" formatCode="&quot;$&quot;#,##0.000"/>
            </x14:dxf>
          </x14:cfRule>
          <x14:cfRule type="expression" priority="6" id="{9ED922E4-24EB-4D58-89F4-1F000D81EA13}">
            <xm:f>Input!$B46="Percentage"</xm:f>
            <x14:dxf>
              <numFmt numFmtId="166" formatCode="0.000%"/>
            </x14:dxf>
          </x14:cfRule>
          <xm:sqref>B25:B37</xm:sqref>
        </x14:conditionalFormatting>
        <x14:conditionalFormatting xmlns:xm="http://schemas.microsoft.com/office/excel/2006/main">
          <x14:cfRule type="expression" priority="1" id="{FF8A9AE6-87E1-4138-BD63-C9D06F4C35A9}">
            <xm:f>OR(Input!$B62="Fixed",Input!$B62="Volumetric")</xm:f>
            <x14:dxf>
              <numFmt numFmtId="171" formatCode="&quot;$&quot;#,##0.000"/>
            </x14:dxf>
          </x14:cfRule>
          <x14:cfRule type="expression" priority="2" id="{C956C7B2-E9E3-4CEA-9652-956B6A0A2A9C}">
            <xm:f>Input!$B62="Percentage"</xm:f>
            <x14:dxf>
              <numFmt numFmtId="166" formatCode="0.000%"/>
            </x14:dxf>
          </x14:cfRule>
          <xm:sqref>B73:B85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Input!$A$86:$A$92</xm:f>
          </x14:formula1>
          <xm:sqref>B12 B60</xm:sqref>
        </x14:dataValidation>
        <x14:dataValidation type="list" allowBlank="1" showInputMessage="1" showErrorMessage="1">
          <x14:formula1>
            <xm:f>Input!$A$28:$A$42</xm:f>
          </x14:formula1>
          <xm:sqref>B6 B54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V99"/>
  <sheetViews>
    <sheetView zoomScale="115" zoomScaleNormal="115" workbookViewId="0">
      <pane xSplit="1" topLeftCell="B1" activePane="topRight" state="frozen"/>
      <selection activeCell="B6" sqref="B6"/>
      <selection pane="topRight" activeCell="B41" sqref="B41"/>
    </sheetView>
  </sheetViews>
  <sheetFormatPr defaultRowHeight="14.4" x14ac:dyDescent="0.55000000000000004"/>
  <cols>
    <col min="1" max="1" width="30.41796875" customWidth="1"/>
    <col min="2" max="2" width="11.15625" customWidth="1"/>
    <col min="3" max="3" width="14.83984375" bestFit="1" customWidth="1"/>
    <col min="4" max="4" width="10.15625" bestFit="1" customWidth="1"/>
    <col min="5" max="5" width="0.83984375" customWidth="1"/>
    <col min="6" max="6" width="10" bestFit="1" customWidth="1"/>
    <col min="7" max="7" width="13.83984375" bestFit="1" customWidth="1"/>
    <col min="8" max="8" width="10.15625" bestFit="1" customWidth="1"/>
    <col min="9" max="9" width="0.83984375" customWidth="1"/>
    <col min="11" max="11" width="13.83984375" bestFit="1" customWidth="1"/>
    <col min="13" max="13" width="0.83984375" customWidth="1"/>
    <col min="14" max="14" width="9.41796875" customWidth="1"/>
    <col min="15" max="15" width="13.83984375" customWidth="1"/>
    <col min="16" max="16" width="9.15625" customWidth="1"/>
    <col min="17" max="17" width="0.83984375" customWidth="1"/>
    <col min="18" max="18" width="9.15625" customWidth="1"/>
    <col min="19" max="19" width="13.83984375" customWidth="1"/>
    <col min="20" max="20" width="9.15625" customWidth="1"/>
    <col min="21" max="21" width="0.83984375" customWidth="1"/>
    <col min="22" max="22" width="9.15625" customWidth="1"/>
    <col min="23" max="23" width="13.83984375" customWidth="1"/>
    <col min="24" max="24" width="9.15625" customWidth="1"/>
    <col min="25" max="25" width="0.83984375" customWidth="1"/>
    <col min="26" max="26" width="9.15625" customWidth="1"/>
    <col min="27" max="27" width="13.83984375" customWidth="1"/>
    <col min="28" max="28" width="9.15625" customWidth="1"/>
    <col min="29" max="29" width="0.83984375" customWidth="1"/>
    <col min="30" max="30" width="9.15625" customWidth="1"/>
    <col min="31" max="31" width="13.83984375" customWidth="1"/>
    <col min="32" max="32" width="9.15625" customWidth="1"/>
    <col min="33" max="33" width="0.83984375" customWidth="1"/>
    <col min="34" max="34" width="9.15625" customWidth="1"/>
    <col min="35" max="35" width="13.83984375" customWidth="1"/>
    <col min="36" max="36" width="9.15625" customWidth="1"/>
    <col min="37" max="37" width="0.83984375" customWidth="1"/>
    <col min="38" max="38" width="9.15625" customWidth="1"/>
    <col min="39" max="39" width="13.83984375" customWidth="1"/>
    <col min="40" max="40" width="9.15625" customWidth="1"/>
    <col min="41" max="41" width="0.83984375" customWidth="1"/>
    <col min="42" max="42" width="9.15625" customWidth="1"/>
    <col min="43" max="43" width="13.83984375" customWidth="1"/>
    <col min="44" max="44" width="9.15625" customWidth="1"/>
    <col min="45" max="45" width="1.83984375" customWidth="1"/>
    <col min="46" max="46" width="9.15625" customWidth="1"/>
    <col min="47" max="47" width="13.83984375" customWidth="1"/>
    <col min="48" max="48" width="9.15625" customWidth="1"/>
  </cols>
  <sheetData>
    <row r="1" spans="1:48" x14ac:dyDescent="0.55000000000000004">
      <c r="A1" s="1" t="s">
        <v>0</v>
      </c>
    </row>
    <row r="2" spans="1:48" x14ac:dyDescent="0.55000000000000004">
      <c r="A2" s="1" t="s">
        <v>1</v>
      </c>
    </row>
    <row r="3" spans="1:48" x14ac:dyDescent="0.55000000000000004">
      <c r="A3" s="1" t="str">
        <f>Input!A86</f>
        <v>San Jose Water Company</v>
      </c>
    </row>
    <row r="4" spans="1:48" ht="14.7" thickBot="1" x14ac:dyDescent="0.6">
      <c r="A4" s="1"/>
    </row>
    <row r="5" spans="1:48" x14ac:dyDescent="0.55000000000000004">
      <c r="A5" s="11" t="s">
        <v>83</v>
      </c>
      <c r="B5" s="12">
        <f>Input!$B$9</f>
        <v>2022</v>
      </c>
    </row>
    <row r="6" spans="1:48" x14ac:dyDescent="0.55000000000000004">
      <c r="A6" s="13" t="s">
        <v>6</v>
      </c>
      <c r="B6" s="57" t="s">
        <v>14</v>
      </c>
      <c r="C6" s="37" t="s">
        <v>37</v>
      </c>
    </row>
    <row r="7" spans="1:48" x14ac:dyDescent="0.55000000000000004">
      <c r="A7" s="13" t="s">
        <v>41</v>
      </c>
      <c r="B7" s="14">
        <f>Input!C9</f>
        <v>11</v>
      </c>
    </row>
    <row r="8" spans="1:48" x14ac:dyDescent="0.55000000000000004">
      <c r="A8" s="13" t="s">
        <v>8</v>
      </c>
      <c r="B8" s="14" t="s">
        <v>24</v>
      </c>
    </row>
    <row r="9" spans="1:48" x14ac:dyDescent="0.55000000000000004">
      <c r="A9" s="13" t="s">
        <v>89</v>
      </c>
      <c r="B9" s="14" t="s">
        <v>27</v>
      </c>
    </row>
    <row r="10" spans="1:48" x14ac:dyDescent="0.55000000000000004">
      <c r="A10" s="13" t="s">
        <v>51</v>
      </c>
      <c r="B10" s="14" t="str">
        <f>VLOOKUP(B11,Input!$A$86:$C$92,2,FALSE)</f>
        <v>San Jose Water Company</v>
      </c>
    </row>
    <row r="11" spans="1:48" ht="14.7" thickBot="1" x14ac:dyDescent="0.6">
      <c r="A11" s="15" t="s">
        <v>28</v>
      </c>
      <c r="B11" s="35" t="str">
        <f>'Residential Bill_Current_avg'!B11</f>
        <v>San Jose Water Company</v>
      </c>
    </row>
    <row r="12" spans="1:48" ht="14.7" thickBot="1" x14ac:dyDescent="0.6">
      <c r="A12" s="34"/>
      <c r="B12" s="24"/>
    </row>
    <row r="13" spans="1:48" ht="14.7" thickBot="1" x14ac:dyDescent="0.6">
      <c r="A13" s="1"/>
      <c r="B13" s="209" t="str">
        <f>CONCATENATE("January"," ",$B$5)</f>
        <v>January 2022</v>
      </c>
      <c r="C13" s="210"/>
      <c r="D13" s="211"/>
      <c r="F13" s="209" t="str">
        <f>CONCATENATE("February"," ",$B$5)</f>
        <v>February 2022</v>
      </c>
      <c r="G13" s="210"/>
      <c r="H13" s="211"/>
      <c r="J13" s="209" t="str">
        <f>CONCATENATE("March"," ",$B$5)</f>
        <v>March 2022</v>
      </c>
      <c r="K13" s="210"/>
      <c r="L13" s="211"/>
      <c r="N13" s="209" t="str">
        <f>CONCATENATE("April"," ",$B$5)</f>
        <v>April 2022</v>
      </c>
      <c r="O13" s="210"/>
      <c r="P13" s="211"/>
      <c r="R13" s="209" t="str">
        <f>CONCATENATE("May"," ",$B$5)</f>
        <v>May 2022</v>
      </c>
      <c r="S13" s="210"/>
      <c r="T13" s="211"/>
      <c r="V13" s="209" t="str">
        <f>CONCATENATE("June"," ",$B$5)</f>
        <v>June 2022</v>
      </c>
      <c r="W13" s="210"/>
      <c r="X13" s="211"/>
      <c r="Z13" s="209" t="str">
        <f>CONCATENATE("July"," ",$B$5)</f>
        <v>July 2022</v>
      </c>
      <c r="AA13" s="210"/>
      <c r="AB13" s="211"/>
      <c r="AD13" s="209" t="str">
        <f>CONCATENATE("August"," ",$B$5)</f>
        <v>August 2022</v>
      </c>
      <c r="AE13" s="210"/>
      <c r="AF13" s="211"/>
      <c r="AH13" s="209" t="str">
        <f>CONCATENATE("September"," ",$B$5)</f>
        <v>September 2022</v>
      </c>
      <c r="AI13" s="210"/>
      <c r="AJ13" s="211"/>
      <c r="AL13" s="209" t="str">
        <f>CONCATENATE("October"," ",$B$5)</f>
        <v>October 2022</v>
      </c>
      <c r="AM13" s="210"/>
      <c r="AN13" s="211"/>
      <c r="AP13" s="209" t="str">
        <f>CONCATENATE("November"," ",$B$5)</f>
        <v>November 2022</v>
      </c>
      <c r="AQ13" s="210"/>
      <c r="AR13" s="211"/>
      <c r="AS13" s="171"/>
      <c r="AT13" s="209" t="str">
        <f>CONCATENATE("December"," ",$B$5)</f>
        <v>December 2022</v>
      </c>
      <c r="AU13" s="210"/>
      <c r="AV13" s="211"/>
    </row>
    <row r="14" spans="1:48" x14ac:dyDescent="0.55000000000000004">
      <c r="A14" s="1" t="s">
        <v>5</v>
      </c>
      <c r="B14" s="16"/>
      <c r="C14" s="17"/>
      <c r="D14" s="18">
        <f>INDEX(Input!$C$28:$AL$42,MATCH('Residential Bills_Yr 1_avg'!$B$6,Input!$A$28:$A$42,0),MATCH('Residential Bills_Yr 1_avg'!B$13,Input!$C$27:$AL$27,0))</f>
        <v>41.69</v>
      </c>
      <c r="F14" s="16"/>
      <c r="G14" s="17"/>
      <c r="H14" s="18">
        <f>INDEX(Input!$C$28:$AL$42,MATCH('Residential Bills_Yr 1_avg'!$B$6,Input!$A$28:$A$42,0),MATCH('Residential Bills_Yr 1_avg'!F$13,Input!$C$27:$AL$27,0))</f>
        <v>41.69</v>
      </c>
      <c r="J14" s="16"/>
      <c r="K14" s="17"/>
      <c r="L14" s="18">
        <f>INDEX(Input!$C$28:$AL$42,MATCH('Residential Bills_Yr 1_avg'!$B$6,Input!$A$28:$A$42,0),MATCH('Residential Bills_Yr 1_avg'!J$13,Input!$C$27:$AL$27,0))</f>
        <v>41.69</v>
      </c>
      <c r="N14" s="16"/>
      <c r="O14" s="17"/>
      <c r="P14" s="18">
        <f>INDEX(Input!$C$28:$AL$42,MATCH('Residential Bills_Yr 1_avg'!$B$6,Input!$A$28:$A$42,0),MATCH('Residential Bills_Yr 1_avg'!N$13,Input!$C$27:$AL$27,0))</f>
        <v>41.69</v>
      </c>
      <c r="R14" s="16"/>
      <c r="S14" s="17"/>
      <c r="T14" s="18">
        <f>INDEX(Input!$C$28:$AL$42,MATCH('Residential Bills_Yr 1_avg'!$B$6,Input!$A$28:$A$42,0),MATCH('Residential Bills_Yr 1_avg'!R$13,Input!$C$27:$AL$27,0))</f>
        <v>41.69</v>
      </c>
      <c r="V14" s="16"/>
      <c r="W14" s="17"/>
      <c r="X14" s="18">
        <f>INDEX(Input!$C$28:$AL$42,MATCH('Residential Bills_Yr 1_avg'!$B$6,Input!$A$28:$A$42,0),MATCH('Residential Bills_Yr 1_avg'!V$13,Input!$C$27:$AL$27,0))</f>
        <v>41.69</v>
      </c>
      <c r="Z14" s="16"/>
      <c r="AA14" s="17"/>
      <c r="AB14" s="18">
        <f>INDEX(Input!$C$28:$AL$42,MATCH('Residential Bills_Yr 1_avg'!$B$6,Input!$A$28:$A$42,0),MATCH('Residential Bills_Yr 1_avg'!Z$13,Input!$C$27:$AL$27,0))</f>
        <v>41.71</v>
      </c>
      <c r="AD14" s="16"/>
      <c r="AE14" s="17"/>
      <c r="AF14" s="18">
        <f>INDEX(Input!$C$28:$AL$42,MATCH('Residential Bills_Yr 1_avg'!$B$6,Input!$A$28:$A$42,0),MATCH('Residential Bills_Yr 1_avg'!AD$13,Input!$C$27:$AL$27,0))</f>
        <v>41.71</v>
      </c>
      <c r="AH14" s="16"/>
      <c r="AI14" s="17"/>
      <c r="AJ14" s="18">
        <f>INDEX(Input!$C$28:$AL$42,MATCH('Residential Bills_Yr 1_avg'!$B$6,Input!$A$28:$A$42,0),MATCH('Residential Bills_Yr 1_avg'!AH$13,Input!$C$27:$AL$27,0))</f>
        <v>41.71</v>
      </c>
      <c r="AL14" s="16"/>
      <c r="AM14" s="17"/>
      <c r="AN14" s="18">
        <f>INDEX(Input!$C$28:$AL$42,MATCH('Residential Bills_Yr 1_avg'!$B$6,Input!$A$28:$A$42,0),MATCH('Residential Bills_Yr 1_avg'!AL$13,Input!$C$27:$AL$27,0))</f>
        <v>41.71</v>
      </c>
      <c r="AP14" s="16"/>
      <c r="AQ14" s="17"/>
      <c r="AR14" s="18">
        <f>INDEX(Input!$C$28:$AL$42,MATCH('Residential Bills_Yr 1_avg'!$B$6,Input!$A$28:$A$42,0),MATCH('Residential Bills_Yr 1_avg'!AP$13,Input!$C$27:$AL$27,0))</f>
        <v>50.88</v>
      </c>
      <c r="AS14" s="175"/>
      <c r="AT14" s="16"/>
      <c r="AU14" s="17"/>
      <c r="AV14" s="18">
        <f>INDEX(Input!$C$28:$AL$42,MATCH('Residential Bills_Yr 1_avg'!$B$6,Input!$A$28:$A$42,0),MATCH('Residential Bills_Yr 1_avg'!AT$13,Input!$C$27:$AL$27,0))</f>
        <v>50.88</v>
      </c>
    </row>
    <row r="15" spans="1:48" x14ac:dyDescent="0.55000000000000004">
      <c r="B15" s="16"/>
      <c r="C15" s="17"/>
      <c r="D15" s="19"/>
      <c r="F15" s="16"/>
      <c r="G15" s="17"/>
      <c r="H15" s="19"/>
      <c r="J15" s="16"/>
      <c r="K15" s="17"/>
      <c r="L15" s="19"/>
      <c r="N15" s="16"/>
      <c r="O15" s="17"/>
      <c r="P15" s="19"/>
      <c r="R15" s="16"/>
      <c r="S15" s="17"/>
      <c r="T15" s="19"/>
      <c r="V15" s="16"/>
      <c r="W15" s="17"/>
      <c r="X15" s="19"/>
      <c r="Z15" s="16"/>
      <c r="AA15" s="17"/>
      <c r="AB15" s="19"/>
      <c r="AD15" s="16"/>
      <c r="AE15" s="17"/>
      <c r="AF15" s="19"/>
      <c r="AH15" s="16"/>
      <c r="AI15" s="17"/>
      <c r="AJ15" s="19"/>
      <c r="AL15" s="16"/>
      <c r="AM15" s="17"/>
      <c r="AN15" s="19"/>
      <c r="AP15" s="16"/>
      <c r="AQ15" s="17"/>
      <c r="AR15" s="19"/>
      <c r="AS15" s="17"/>
      <c r="AT15" s="16"/>
      <c r="AU15" s="17"/>
      <c r="AV15" s="19"/>
    </row>
    <row r="16" spans="1:48" x14ac:dyDescent="0.55000000000000004">
      <c r="A16" s="1" t="s">
        <v>33</v>
      </c>
      <c r="B16" s="20" t="s">
        <v>29</v>
      </c>
      <c r="C16" s="21" t="s">
        <v>7</v>
      </c>
      <c r="D16" s="22" t="s">
        <v>30</v>
      </c>
      <c r="F16" s="20" t="s">
        <v>29</v>
      </c>
      <c r="G16" s="21" t="s">
        <v>7</v>
      </c>
      <c r="H16" s="22" t="s">
        <v>30</v>
      </c>
      <c r="J16" s="20" t="s">
        <v>29</v>
      </c>
      <c r="K16" s="21" t="s">
        <v>7</v>
      </c>
      <c r="L16" s="22" t="s">
        <v>30</v>
      </c>
      <c r="N16" s="20" t="s">
        <v>29</v>
      </c>
      <c r="O16" s="21" t="s">
        <v>7</v>
      </c>
      <c r="P16" s="22" t="s">
        <v>30</v>
      </c>
      <c r="R16" s="20" t="s">
        <v>29</v>
      </c>
      <c r="S16" s="21" t="s">
        <v>7</v>
      </c>
      <c r="T16" s="22" t="s">
        <v>30</v>
      </c>
      <c r="V16" s="20" t="s">
        <v>29</v>
      </c>
      <c r="W16" s="21" t="s">
        <v>7</v>
      </c>
      <c r="X16" s="22" t="s">
        <v>30</v>
      </c>
      <c r="Z16" s="20" t="s">
        <v>29</v>
      </c>
      <c r="AA16" s="21" t="s">
        <v>7</v>
      </c>
      <c r="AB16" s="22" t="s">
        <v>30</v>
      </c>
      <c r="AD16" s="20" t="s">
        <v>29</v>
      </c>
      <c r="AE16" s="21" t="s">
        <v>7</v>
      </c>
      <c r="AF16" s="22" t="s">
        <v>30</v>
      </c>
      <c r="AH16" s="20" t="s">
        <v>29</v>
      </c>
      <c r="AI16" s="21" t="s">
        <v>7</v>
      </c>
      <c r="AJ16" s="22" t="s">
        <v>30</v>
      </c>
      <c r="AL16" s="20" t="s">
        <v>29</v>
      </c>
      <c r="AM16" s="21" t="s">
        <v>7</v>
      </c>
      <c r="AN16" s="22" t="s">
        <v>30</v>
      </c>
      <c r="AP16" s="20" t="s">
        <v>29</v>
      </c>
      <c r="AQ16" s="21" t="s">
        <v>7</v>
      </c>
      <c r="AR16" s="22" t="s">
        <v>30</v>
      </c>
      <c r="AS16" s="170"/>
      <c r="AT16" s="20" t="s">
        <v>29</v>
      </c>
      <c r="AU16" s="21" t="s">
        <v>7</v>
      </c>
      <c r="AV16" s="22" t="s">
        <v>30</v>
      </c>
    </row>
    <row r="17" spans="1:48" x14ac:dyDescent="0.55000000000000004">
      <c r="A17" t="str">
        <f>Input!A21</f>
        <v>Tier 1</v>
      </c>
      <c r="B17" s="23">
        <f>INDEX(Input!$C$21:$AL$25,MATCH('Residential Bills_Yr 1_avg'!$A17,Input!$A$21:$A$25,0),MATCH('Residential Bills_Yr 1_avg'!B$13,Input!$C$20:$AL$20,0))</f>
        <v>3.7563</v>
      </c>
      <c r="C17" s="24">
        <f>IF($B$7&gt;Input!F87,Input!F87,'Residential Bills_Yr 1_avg'!$B$7)</f>
        <v>3</v>
      </c>
      <c r="D17" s="25">
        <f>ROUND(IFERROR(B17*C17," "),2)</f>
        <v>11.27</v>
      </c>
      <c r="F17" s="23">
        <f>INDEX(Input!$C$21:$AL$25,MATCH('Residential Bills_Yr 1_avg'!$A17,Input!$A$21:$A$25,0),MATCH('Residential Bills_Yr 1_avg'!F$13,Input!$C$20:$AL$20,0))</f>
        <v>3.7563</v>
      </c>
      <c r="G17" s="24">
        <f>IF($B$7&gt;Input!G87,Input!G87,'Residential Bills_Yr 1_avg'!$B$7)</f>
        <v>3</v>
      </c>
      <c r="H17" s="25">
        <f>ROUND(IFERROR(F17*G17," "),2)</f>
        <v>11.27</v>
      </c>
      <c r="J17" s="23">
        <f>INDEX(Input!$C$21:$AL$25,MATCH('Residential Bills_Yr 1_avg'!$A17,Input!$A$21:$A$25,0),MATCH('Residential Bills_Yr 1_avg'!J$13,Input!$C$20:$AL$20,0))</f>
        <v>3.7563</v>
      </c>
      <c r="K17" s="24">
        <f>IF($B$7&gt;Input!H87,Input!H87,'Residential Bills_Yr 1_avg'!$B$7)</f>
        <v>3</v>
      </c>
      <c r="L17" s="25">
        <f>ROUND(IFERROR(J17*K17," "),2)</f>
        <v>11.27</v>
      </c>
      <c r="N17" s="23">
        <f>INDEX(Input!$C$21:$AL$25,MATCH('Residential Bills_Yr 1_avg'!$A17,Input!$A$21:$A$25,0),MATCH('Residential Bills_Yr 1_avg'!N$13,Input!$C$20:$AL$20,0))</f>
        <v>3.7563</v>
      </c>
      <c r="O17" s="24">
        <f>IF($B$7&gt;Input!I87,Input!I87,'Residential Bills_Yr 1_avg'!$B$7)</f>
        <v>3</v>
      </c>
      <c r="P17" s="25">
        <f>ROUND(IFERROR(N17*O17," "),2)</f>
        <v>11.27</v>
      </c>
      <c r="R17" s="23">
        <f>INDEX(Input!$C$21:$AL$25,MATCH('Residential Bills_Yr 1_avg'!$A17,Input!$A$21:$A$25,0),MATCH('Residential Bills_Yr 1_avg'!R$13,Input!$C$20:$AL$20,0))</f>
        <v>3.7563</v>
      </c>
      <c r="S17" s="24">
        <f>IF($B$7&gt;Input!J87,Input!J87,'Residential Bills_Yr 1_avg'!$B$7)</f>
        <v>3</v>
      </c>
      <c r="T17" s="25">
        <f>ROUND(IFERROR(R17*S17," "),2)</f>
        <v>11.27</v>
      </c>
      <c r="V17" s="23">
        <f>INDEX(Input!$C$21:$AL$25,MATCH('Residential Bills_Yr 1_avg'!$A17,Input!$A$21:$A$25,0),MATCH('Residential Bills_Yr 1_avg'!V$13,Input!$C$20:$AL$20,0))</f>
        <v>3.7563</v>
      </c>
      <c r="W17" s="24">
        <f>IF($B$7&gt;Input!K87,Input!K87,'Residential Bills_Yr 1_avg'!$B$7)</f>
        <v>3</v>
      </c>
      <c r="X17" s="25">
        <f>ROUND(IFERROR(V17*W17," "),2)</f>
        <v>11.27</v>
      </c>
      <c r="Z17" s="23">
        <f>INDEX(Input!$C$21:$AL$25,MATCH('Residential Bills_Yr 1_avg'!$A17,Input!$A$21:$A$25,0),MATCH('Residential Bills_Yr 1_avg'!Z$13,Input!$C$20:$AL$20,0))</f>
        <v>4.2720000000000002</v>
      </c>
      <c r="AA17" s="24">
        <f>IF($B$7&gt;Input!L87,Input!L87,'Residential Bills_Yr 1_avg'!$B$7)</f>
        <v>3</v>
      </c>
      <c r="AB17" s="25">
        <f>ROUND(IFERROR(Z17*AA17," "),2)</f>
        <v>12.82</v>
      </c>
      <c r="AD17" s="23">
        <f>INDEX(Input!$C$21:$AL$25,MATCH('Residential Bills_Yr 1_avg'!$A17,Input!$A$21:$A$25,0),MATCH('Residential Bills_Yr 1_avg'!AD$13,Input!$C$20:$AL$20,0))</f>
        <v>4.2720000000000002</v>
      </c>
      <c r="AE17" s="24">
        <f>IF($B$7&gt;Input!M87,Input!M87,'Residential Bills_Yr 1_avg'!$B$7)</f>
        <v>3</v>
      </c>
      <c r="AF17" s="25">
        <f>ROUND(IFERROR(AD17*AE17," "),2)</f>
        <v>12.82</v>
      </c>
      <c r="AH17" s="23">
        <f>INDEX(Input!$C$21:$AL$25,MATCH('Residential Bills_Yr 1_avg'!$A17,Input!$A$21:$A$25,0),MATCH('Residential Bills_Yr 1_avg'!AH$13,Input!$C$20:$AL$20,0))</f>
        <v>4.2720000000000002</v>
      </c>
      <c r="AI17" s="24">
        <f>IF($B$7&gt;Input!N87,Input!N87,'Residential Bills_Yr 1_avg'!$B$7)</f>
        <v>3</v>
      </c>
      <c r="AJ17" s="25">
        <f>ROUND(IFERROR(AH17*AI17," "),2)</f>
        <v>12.82</v>
      </c>
      <c r="AL17" s="23">
        <f>INDEX(Input!$C$21:$AL$25,MATCH('Residential Bills_Yr 1_avg'!$A17,Input!$A$21:$A$25,0),MATCH('Residential Bills_Yr 1_avg'!AL$13,Input!$C$20:$AL$20,0))</f>
        <v>4.2720000000000002</v>
      </c>
      <c r="AM17" s="24">
        <f>IF($B$7&gt;Input!O87,Input!O87,'Residential Bills_Yr 1_avg'!$B$7)</f>
        <v>3</v>
      </c>
      <c r="AN17" s="25">
        <f>ROUND(IFERROR(AL17*AM17," "),2)</f>
        <v>12.82</v>
      </c>
      <c r="AP17" s="23">
        <f>INDEX(Input!$C$21:$AL$25,MATCH('Residential Bills_Yr 1_avg'!$A17,Input!$A$21:$A$25,0),MATCH('Residential Bills_Yr 1_avg'!AP$13,Input!$C$20:$AL$20,0))</f>
        <v>4.0001999999999995</v>
      </c>
      <c r="AQ17" s="24">
        <f>IF($B$7&gt;Input!P87,Input!P87,'Residential Bills_Yr 1_avg'!$B$7)</f>
        <v>6</v>
      </c>
      <c r="AR17" s="25">
        <f>ROUND(IFERROR(AP17*AQ17," "),2)</f>
        <v>24</v>
      </c>
      <c r="AS17" s="30"/>
      <c r="AT17" s="23">
        <f>INDEX(Input!$C$21:$AL$25,MATCH('Residential Bills_Yr 1_avg'!$A17,Input!$A$21:$A$25,0),MATCH('Residential Bills_Yr 1_avg'!AT$13,Input!$C$20:$AL$20,0))</f>
        <v>4.0001999999999995</v>
      </c>
      <c r="AU17" s="24">
        <f>IF($B$7&gt;Input!Q87,Input!Q87,'Residential Bills_Yr 1_avg'!$B$7)</f>
        <v>6</v>
      </c>
      <c r="AV17" s="25">
        <f>ROUND(IFERROR(AT17*AU17," "),2)</f>
        <v>24</v>
      </c>
    </row>
    <row r="18" spans="1:48" x14ac:dyDescent="0.55000000000000004">
      <c r="A18" t="str">
        <f>Input!A22</f>
        <v>Tier 2</v>
      </c>
      <c r="B18" s="23">
        <f>INDEX(Input!$C$21:$AL$25,MATCH('Residential Bills_Yr 1_avg'!$A18,Input!$A$21:$A$25,0),MATCH('Residential Bills_Yr 1_avg'!B$13,Input!$C$20:$AL$20,0))</f>
        <v>5.4452999999999996</v>
      </c>
      <c r="C18" s="24">
        <f>IF(($B$7-C17)&gt;Input!F88,Input!F88,($B$7-C17))</f>
        <v>8</v>
      </c>
      <c r="D18" s="25">
        <f>ROUND(IFERROR(B18*C18," "),2)</f>
        <v>43.56</v>
      </c>
      <c r="F18" s="23">
        <f>INDEX(Input!$C$21:$AL$25,MATCH('Residential Bills_Yr 1_avg'!$A18,Input!$A$21:$A$25,0),MATCH('Residential Bills_Yr 1_avg'!F$13,Input!$C$20:$AL$20,0))</f>
        <v>5.4452999999999996</v>
      </c>
      <c r="G18" s="24">
        <f>IF(($B$7-G17)&gt;Input!G88,Input!G88,($B$7-G17))</f>
        <v>8</v>
      </c>
      <c r="H18" s="25">
        <f>ROUND(IFERROR(F18*G18," "),2)</f>
        <v>43.56</v>
      </c>
      <c r="J18" s="23">
        <f>INDEX(Input!$C$21:$AL$25,MATCH('Residential Bills_Yr 1_avg'!$A18,Input!$A$21:$A$25,0),MATCH('Residential Bills_Yr 1_avg'!J$13,Input!$C$20:$AL$20,0))</f>
        <v>5.4452999999999996</v>
      </c>
      <c r="K18" s="24">
        <f>IF(($B$7-K17)&gt;Input!H88,Input!H88,($B$7-K17))</f>
        <v>8</v>
      </c>
      <c r="L18" s="25">
        <f>ROUND(IFERROR(J18*K18," "),2)</f>
        <v>43.56</v>
      </c>
      <c r="N18" s="23">
        <f>INDEX(Input!$C$21:$AL$25,MATCH('Residential Bills_Yr 1_avg'!$A18,Input!$A$21:$A$25,0),MATCH('Residential Bills_Yr 1_avg'!N$13,Input!$C$20:$AL$20,0))</f>
        <v>5.4452999999999996</v>
      </c>
      <c r="O18" s="24">
        <f>IF(($B$7-O17)&gt;Input!I88,Input!I88,($B$7-O17))</f>
        <v>8</v>
      </c>
      <c r="P18" s="25">
        <f>ROUND(IFERROR(N18*O18," "),2)</f>
        <v>43.56</v>
      </c>
      <c r="R18" s="23">
        <f>INDEX(Input!$C$21:$AL$25,MATCH('Residential Bills_Yr 1_avg'!$A18,Input!$A$21:$A$25,0),MATCH('Residential Bills_Yr 1_avg'!R$13,Input!$C$20:$AL$20,0))</f>
        <v>5.4452999999999996</v>
      </c>
      <c r="S18" s="24">
        <f>IF(($B$7-S17)&gt;Input!J88,Input!J88,($B$7-S17))</f>
        <v>8</v>
      </c>
      <c r="T18" s="25">
        <f>ROUND(IFERROR(R18*S18," "),2)</f>
        <v>43.56</v>
      </c>
      <c r="V18" s="23">
        <f>INDEX(Input!$C$21:$AL$25,MATCH('Residential Bills_Yr 1_avg'!$A18,Input!$A$21:$A$25,0),MATCH('Residential Bills_Yr 1_avg'!V$13,Input!$C$20:$AL$20,0))</f>
        <v>5.4452999999999996</v>
      </c>
      <c r="W18" s="24">
        <f>IF(($B$7-W17)&gt;Input!K88,Input!K88,($B$7-W17))</f>
        <v>8</v>
      </c>
      <c r="X18" s="25">
        <f>ROUND(IFERROR(V18*W18," "),2)</f>
        <v>43.56</v>
      </c>
      <c r="Z18" s="23">
        <f>INDEX(Input!$C$21:$AL$25,MATCH('Residential Bills_Yr 1_avg'!$A18,Input!$A$21:$A$25,0),MATCH('Residential Bills_Yr 1_avg'!Z$13,Input!$C$20:$AL$20,0))</f>
        <v>5.9619999999999997</v>
      </c>
      <c r="AA18" s="24">
        <f>IF(($B$7-AA17)&gt;Input!L88,Input!L88,($B$7-AA17))</f>
        <v>8</v>
      </c>
      <c r="AB18" s="25">
        <f>ROUND(IFERROR(Z18*AA18," "),2)</f>
        <v>47.7</v>
      </c>
      <c r="AD18" s="23">
        <f>INDEX(Input!$C$21:$AL$25,MATCH('Residential Bills_Yr 1_avg'!$A18,Input!$A$21:$A$25,0),MATCH('Residential Bills_Yr 1_avg'!AD$13,Input!$C$20:$AL$20,0))</f>
        <v>5.9619999999999997</v>
      </c>
      <c r="AE18" s="24">
        <f>IF(($B$7-AE17)&gt;Input!M88,Input!M88,($B$7-AE17))</f>
        <v>8</v>
      </c>
      <c r="AF18" s="25">
        <f>ROUND(IFERROR(AD18*AE18," "),2)</f>
        <v>47.7</v>
      </c>
      <c r="AH18" s="23">
        <f>INDEX(Input!$C$21:$AL$25,MATCH('Residential Bills_Yr 1_avg'!$A18,Input!$A$21:$A$25,0),MATCH('Residential Bills_Yr 1_avg'!AH$13,Input!$C$20:$AL$20,0))</f>
        <v>5.9619999999999997</v>
      </c>
      <c r="AI18" s="24">
        <f>IF(($B$7-AI17)&gt;Input!N88,Input!N88,($B$7-AI17))</f>
        <v>8</v>
      </c>
      <c r="AJ18" s="25">
        <f>ROUND(IFERROR(AH18*AI18," "),2)</f>
        <v>47.7</v>
      </c>
      <c r="AL18" s="23">
        <f>INDEX(Input!$C$21:$AL$25,MATCH('Residential Bills_Yr 1_avg'!$A18,Input!$A$21:$A$25,0),MATCH('Residential Bills_Yr 1_avg'!AL$13,Input!$C$20:$AL$20,0))</f>
        <v>5.9619999999999997</v>
      </c>
      <c r="AM18" s="24">
        <f>IF(($B$7-AM17)&gt;Input!O88,Input!O88,($B$7-AM17))</f>
        <v>8</v>
      </c>
      <c r="AN18" s="25">
        <f>ROUND(IFERROR(AL18*AM18," "),2)</f>
        <v>47.7</v>
      </c>
      <c r="AP18" s="23">
        <f>INDEX(Input!$C$21:$AL$25,MATCH('Residential Bills_Yr 1_avg'!$A18,Input!$A$21:$A$25,0),MATCH('Residential Bills_Yr 1_avg'!AP$13,Input!$C$20:$AL$20,0))</f>
        <v>5.7175000000000002</v>
      </c>
      <c r="AQ18" s="24">
        <f>IF(($B$7-AQ17)&gt;Input!P88,Input!P88,($B$7-AQ17))</f>
        <v>5</v>
      </c>
      <c r="AR18" s="25">
        <f>ROUND(IFERROR(AP18*AQ18," "),2)</f>
        <v>28.59</v>
      </c>
      <c r="AS18" s="30"/>
      <c r="AT18" s="23">
        <f>INDEX(Input!$C$21:$AL$25,MATCH('Residential Bills_Yr 1_avg'!$A18,Input!$A$21:$A$25,0),MATCH('Residential Bills_Yr 1_avg'!AT$13,Input!$C$20:$AL$20,0))</f>
        <v>5.7175000000000002</v>
      </c>
      <c r="AU18" s="24">
        <f>IF(($B$7-AU17)&gt;Input!Q88,Input!Q88,($B$7-AU17))</f>
        <v>5</v>
      </c>
      <c r="AV18" s="25">
        <f>ROUND(IFERROR(AT18*AU18," "),2)</f>
        <v>28.59</v>
      </c>
    </row>
    <row r="19" spans="1:48" x14ac:dyDescent="0.55000000000000004">
      <c r="A19" t="str">
        <f>Input!A23</f>
        <v>Tier 3</v>
      </c>
      <c r="B19" s="23">
        <f>INDEX(Input!$C$21:$AL$25,MATCH('Residential Bills_Yr 1_avg'!$A19,Input!$A$21:$A$25,0),MATCH('Residential Bills_Yr 1_avg'!B$13,Input!$C$20:$AL$20,0))</f>
        <v>7.1337999999999999</v>
      </c>
      <c r="C19" s="24">
        <f>IF(OR(Input!F85="Tier 4",Input!F85="Tier 5"),IF(('Residential Bills_Yr 1_avg'!$B$7-'Residential Bills_Yr 1_avg'!C17-'Residential Bills_Yr 1_avg'!C18)&gt;Input!F96,Input!F96,('Residential Bills_Yr 1_avg'!$B$7-'Residential Bills_Yr 1_avg'!C17-'Residential Bills_Yr 1_avg'!C18)),('Residential Bills_Yr 1_avg'!$B$7-'Residential Bills_Yr 1_avg'!C17-'Residential Bills_Yr 1_avg'!C18))</f>
        <v>0</v>
      </c>
      <c r="D19" s="25">
        <f>ROUND(IFERROR(B19*C19," "),2)</f>
        <v>0</v>
      </c>
      <c r="F19" s="23">
        <f>INDEX(Input!$C$21:$AL$25,MATCH('Residential Bills_Yr 1_avg'!$A19,Input!$A$21:$A$25,0),MATCH('Residential Bills_Yr 1_avg'!F$13,Input!$C$20:$AL$20,0))</f>
        <v>7.1337999999999999</v>
      </c>
      <c r="G19" s="24">
        <f>IF(OR(Input!G85="Tier 4",Input!G85="Tier 5"),IF(('Residential Bills_Yr 1_avg'!$B$7-'Residential Bills_Yr 1_avg'!G17-'Residential Bills_Yr 1_avg'!G18)&gt;Input!G96,Input!G96,('Residential Bills_Yr 1_avg'!$B$7-'Residential Bills_Yr 1_avg'!G17-'Residential Bills_Yr 1_avg'!G18)),('Residential Bills_Yr 1_avg'!$B$7-'Residential Bills_Yr 1_avg'!G17-'Residential Bills_Yr 1_avg'!G18))</f>
        <v>0</v>
      </c>
      <c r="H19" s="25">
        <f>ROUND(IFERROR(F19*G19," "),2)</f>
        <v>0</v>
      </c>
      <c r="J19" s="23">
        <f>INDEX(Input!$C$21:$AL$25,MATCH('Residential Bills_Yr 1_avg'!$A19,Input!$A$21:$A$25,0),MATCH('Residential Bills_Yr 1_avg'!J$13,Input!$C$20:$AL$20,0))</f>
        <v>7.1337999999999999</v>
      </c>
      <c r="K19" s="24">
        <f>IF(OR(Input!H85="Tier 4",Input!H85="Tier 5"),IF(('Residential Bills_Yr 1_avg'!$B$7-'Residential Bills_Yr 1_avg'!K17-'Residential Bills_Yr 1_avg'!K18)&gt;Input!H96,Input!H96,('Residential Bills_Yr 1_avg'!$B$7-'Residential Bills_Yr 1_avg'!K17-'Residential Bills_Yr 1_avg'!K18)),('Residential Bills_Yr 1_avg'!$B$7-'Residential Bills_Yr 1_avg'!K17-'Residential Bills_Yr 1_avg'!K18))</f>
        <v>0</v>
      </c>
      <c r="L19" s="25">
        <f>ROUND(IFERROR(J19*K19," "),2)</f>
        <v>0</v>
      </c>
      <c r="N19" s="23">
        <f>INDEX(Input!$C$21:$AL$25,MATCH('Residential Bills_Yr 1_avg'!$A19,Input!$A$21:$A$25,0),MATCH('Residential Bills_Yr 1_avg'!N$13,Input!$C$20:$AL$20,0))</f>
        <v>7.1337999999999999</v>
      </c>
      <c r="O19" s="24">
        <f>IF(OR(Input!I85="Tier 4",Input!I85="Tier 5"),IF(('Residential Bills_Yr 1_avg'!$B$7-'Residential Bills_Yr 1_avg'!O17-'Residential Bills_Yr 1_avg'!O18)&gt;Input!I96,Input!I96,('Residential Bills_Yr 1_avg'!$B$7-'Residential Bills_Yr 1_avg'!O17-'Residential Bills_Yr 1_avg'!O18)),('Residential Bills_Yr 1_avg'!$B$7-'Residential Bills_Yr 1_avg'!O17-'Residential Bills_Yr 1_avg'!O18))</f>
        <v>0</v>
      </c>
      <c r="P19" s="25">
        <f>ROUND(IFERROR(N19*O19," "),2)</f>
        <v>0</v>
      </c>
      <c r="R19" s="23">
        <f>INDEX(Input!$C$21:$AL$25,MATCH('Residential Bills_Yr 1_avg'!$A19,Input!$A$21:$A$25,0),MATCH('Residential Bills_Yr 1_avg'!R$13,Input!$C$20:$AL$20,0))</f>
        <v>7.1337999999999999</v>
      </c>
      <c r="S19" s="24">
        <f>IF(OR(Input!J85="Tier 4",Input!J85="Tier 5"),IF(('Residential Bills_Yr 1_avg'!$B$7-'Residential Bills_Yr 1_avg'!S17-'Residential Bills_Yr 1_avg'!S18)&gt;Input!J96,Input!J96,('Residential Bills_Yr 1_avg'!$B$7-'Residential Bills_Yr 1_avg'!S17-'Residential Bills_Yr 1_avg'!S18)),('Residential Bills_Yr 1_avg'!$B$7-'Residential Bills_Yr 1_avg'!S17-'Residential Bills_Yr 1_avg'!S18))</f>
        <v>0</v>
      </c>
      <c r="T19" s="25">
        <f>ROUND(IFERROR(R19*S19," "),2)</f>
        <v>0</v>
      </c>
      <c r="V19" s="23">
        <f>INDEX(Input!$C$21:$AL$25,MATCH('Residential Bills_Yr 1_avg'!$A19,Input!$A$21:$A$25,0),MATCH('Residential Bills_Yr 1_avg'!V$13,Input!$C$20:$AL$20,0))</f>
        <v>7.1337999999999999</v>
      </c>
      <c r="W19" s="24">
        <f>IF(OR(Input!K85="Tier 4",Input!K85="Tier 5"),IF(('Residential Bills_Yr 1_avg'!$B$7-'Residential Bills_Yr 1_avg'!W17-'Residential Bills_Yr 1_avg'!W18)&gt;Input!K96,Input!K96,('Residential Bills_Yr 1_avg'!$B$7-'Residential Bills_Yr 1_avg'!W17-'Residential Bills_Yr 1_avg'!W18)),('Residential Bills_Yr 1_avg'!$B$7-'Residential Bills_Yr 1_avg'!W17-'Residential Bills_Yr 1_avg'!W18))</f>
        <v>0</v>
      </c>
      <c r="X19" s="25">
        <f>ROUND(IFERROR(V19*W19," "),2)</f>
        <v>0</v>
      </c>
      <c r="Z19" s="23">
        <f>INDEX(Input!$C$21:$AL$25,MATCH('Residential Bills_Yr 1_avg'!$A19,Input!$A$21:$A$25,0),MATCH('Residential Bills_Yr 1_avg'!Z$13,Input!$C$20:$AL$20,0))</f>
        <v>7.6515000000000004</v>
      </c>
      <c r="AA19" s="24">
        <f>IF(OR(Input!L85="Tier 4",Input!L85="Tier 5"),IF(('Residential Bills_Yr 1_avg'!$B$7-'Residential Bills_Yr 1_avg'!AA17-'Residential Bills_Yr 1_avg'!AA18)&gt;Input!L96,Input!L96,('Residential Bills_Yr 1_avg'!$B$7-'Residential Bills_Yr 1_avg'!AA17-'Residential Bills_Yr 1_avg'!AA18)),('Residential Bills_Yr 1_avg'!$B$7-'Residential Bills_Yr 1_avg'!AA17-'Residential Bills_Yr 1_avg'!AA18))</f>
        <v>0</v>
      </c>
      <c r="AB19" s="25">
        <f>ROUND(IFERROR(Z19*AA19," "),2)</f>
        <v>0</v>
      </c>
      <c r="AD19" s="23">
        <f>INDEX(Input!$C$21:$AL$25,MATCH('Residential Bills_Yr 1_avg'!$A19,Input!$A$21:$A$25,0),MATCH('Residential Bills_Yr 1_avg'!AD$13,Input!$C$20:$AL$20,0))</f>
        <v>7.6515000000000004</v>
      </c>
      <c r="AE19" s="24">
        <f>IF(OR(Input!M85="Tier 4",Input!M85="Tier 5"),IF(('Residential Bills_Yr 1_avg'!$B$7-'Residential Bills_Yr 1_avg'!AE17-'Residential Bills_Yr 1_avg'!AE18)&gt;Input!M96,Input!M96,('Residential Bills_Yr 1_avg'!$B$7-'Residential Bills_Yr 1_avg'!AE17-'Residential Bills_Yr 1_avg'!AE18)),('Residential Bills_Yr 1_avg'!$B$7-'Residential Bills_Yr 1_avg'!AE17-'Residential Bills_Yr 1_avg'!AE18))</f>
        <v>0</v>
      </c>
      <c r="AF19" s="25">
        <f>ROUND(IFERROR(AD19*AE19," "),2)</f>
        <v>0</v>
      </c>
      <c r="AH19" s="23">
        <f>INDEX(Input!$C$21:$AL$25,MATCH('Residential Bills_Yr 1_avg'!$A19,Input!$A$21:$A$25,0),MATCH('Residential Bills_Yr 1_avg'!AH$13,Input!$C$20:$AL$20,0))</f>
        <v>7.6515000000000004</v>
      </c>
      <c r="AI19" s="24">
        <f>IF(OR(Input!N85="Tier 4",Input!N85="Tier 5"),IF(('Residential Bills_Yr 1_avg'!$B$7-'Residential Bills_Yr 1_avg'!AI17-'Residential Bills_Yr 1_avg'!AI18)&gt;Input!N96,Input!N96,('Residential Bills_Yr 1_avg'!$B$7-'Residential Bills_Yr 1_avg'!AI17-'Residential Bills_Yr 1_avg'!AI18)),('Residential Bills_Yr 1_avg'!$B$7-'Residential Bills_Yr 1_avg'!AI17-'Residential Bills_Yr 1_avg'!AI18))</f>
        <v>0</v>
      </c>
      <c r="AJ19" s="25">
        <f>ROUND(IFERROR(AH19*AI19," "),2)</f>
        <v>0</v>
      </c>
      <c r="AL19" s="23">
        <f>INDEX(Input!$C$21:$AL$25,MATCH('Residential Bills_Yr 1_avg'!$A19,Input!$A$21:$A$25,0),MATCH('Residential Bills_Yr 1_avg'!AL$13,Input!$C$20:$AL$20,0))</f>
        <v>7.6515000000000004</v>
      </c>
      <c r="AM19" s="24">
        <f>IF(OR(Input!O85="Tier 4",Input!O85="Tier 5"),IF(('Residential Bills_Yr 1_avg'!$B$7-'Residential Bills_Yr 1_avg'!AM17-'Residential Bills_Yr 1_avg'!AM18)&gt;Input!O96,Input!O96,('Residential Bills_Yr 1_avg'!$B$7-'Residential Bills_Yr 1_avg'!AM17-'Residential Bills_Yr 1_avg'!AM18)),('Residential Bills_Yr 1_avg'!$B$7-'Residential Bills_Yr 1_avg'!AM17-'Residential Bills_Yr 1_avg'!AM18))</f>
        <v>0</v>
      </c>
      <c r="AN19" s="25">
        <f>ROUND(IFERROR(AL19*AM19," "),2)</f>
        <v>0</v>
      </c>
      <c r="AP19" s="23">
        <f>INDEX(Input!$C$21:$AL$25,MATCH('Residential Bills_Yr 1_avg'!$A19,Input!$A$21:$A$25,0),MATCH('Residential Bills_Yr 1_avg'!AP$13,Input!$C$20:$AL$20,0))</f>
        <v>8.821299999999999</v>
      </c>
      <c r="AQ19" s="24">
        <f>IF(OR(Input!P85="Tier 4",Input!P85="Tier 5"),IF(('Residential Bills_Yr 1_avg'!$B$7-'Residential Bills_Yr 1_avg'!AQ17-'Residential Bills_Yr 1_avg'!AQ18)&gt;Input!P96,Input!P96,('Residential Bills_Yr 1_avg'!$B$7-'Residential Bills_Yr 1_avg'!AQ17-'Residential Bills_Yr 1_avg'!AQ18)),('Residential Bills_Yr 1_avg'!$B$7-'Residential Bills_Yr 1_avg'!AQ17-'Residential Bills_Yr 1_avg'!AQ18))</f>
        <v>0</v>
      </c>
      <c r="AR19" s="25">
        <f>ROUND(IFERROR(AP19*AQ19," "),2)</f>
        <v>0</v>
      </c>
      <c r="AS19" s="30"/>
      <c r="AT19" s="23">
        <f>INDEX(Input!$C$21:$AL$25,MATCH('Residential Bills_Yr 1_avg'!$A19,Input!$A$21:$A$25,0),MATCH('Residential Bills_Yr 1_avg'!AT$13,Input!$C$20:$AL$20,0))</f>
        <v>8.821299999999999</v>
      </c>
      <c r="AU19" s="24">
        <f>IF(OR(Input!Q85="Tier 4",Input!Q85="Tier 5"),IF(('Residential Bills_Yr 1_avg'!$B$7-'Residential Bills_Yr 1_avg'!AU17-'Residential Bills_Yr 1_avg'!AU18)&gt;Input!Q96,Input!Q96,('Residential Bills_Yr 1_avg'!$B$7-'Residential Bills_Yr 1_avg'!AU17-'Residential Bills_Yr 1_avg'!AU18)),('Residential Bills_Yr 1_avg'!$B$7-'Residential Bills_Yr 1_avg'!AU17-'Residential Bills_Yr 1_avg'!AU18))</f>
        <v>0</v>
      </c>
      <c r="AV19" s="25">
        <f>ROUND(IFERROR(AT19*AU19," "),2)</f>
        <v>0</v>
      </c>
    </row>
    <row r="20" spans="1:48" ht="14.5" customHeight="1" x14ac:dyDescent="0.55000000000000004">
      <c r="A20" t="str">
        <f>Input!A24</f>
        <v>Tier 4</v>
      </c>
      <c r="B20" s="23">
        <f>INDEX(Input!$C$21:$AL$25,MATCH('Residential Bills_Yr 1_avg'!$A20,Input!$A$21:$A$25,0),MATCH('Residential Bills_Yr 1_avg'!B$13,Input!$C$20:$AL$20,0))</f>
        <v>0</v>
      </c>
      <c r="C20" s="24">
        <v>0</v>
      </c>
      <c r="D20" s="25">
        <f>ROUND(IFERROR(B20*C20," "),2)</f>
        <v>0</v>
      </c>
      <c r="F20" s="23">
        <f>INDEX(Input!$C$21:$AL$25,MATCH('Residential Bills_Yr 1_avg'!$A20,Input!$A$21:$A$25,0),MATCH('Residential Bills_Yr 1_avg'!F$13,Input!$C$20:$AL$20,0))</f>
        <v>0</v>
      </c>
      <c r="G20" s="24">
        <v>0</v>
      </c>
      <c r="H20" s="25">
        <f>ROUND(IFERROR(F20*G20," "),2)</f>
        <v>0</v>
      </c>
      <c r="J20" s="23">
        <f>INDEX(Input!$C$21:$AL$25,MATCH('Residential Bills_Yr 1_avg'!$A20,Input!$A$21:$A$25,0),MATCH('Residential Bills_Yr 1_avg'!J$13,Input!$C$20:$AL$20,0))</f>
        <v>0</v>
      </c>
      <c r="K20" s="24">
        <v>0</v>
      </c>
      <c r="L20" s="25">
        <f>ROUND(IFERROR(J20*K20," "),2)</f>
        <v>0</v>
      </c>
      <c r="N20" s="23">
        <f>INDEX(Input!$C$21:$AL$25,MATCH('Residential Bills_Yr 1_avg'!$A20,Input!$A$21:$A$25,0),MATCH('Residential Bills_Yr 1_avg'!N$13,Input!$C$20:$AL$20,0))</f>
        <v>0</v>
      </c>
      <c r="O20" s="24">
        <v>0</v>
      </c>
      <c r="P20" s="25">
        <f>ROUND(IFERROR(N20*O20," "),2)</f>
        <v>0</v>
      </c>
      <c r="R20" s="23">
        <f>INDEX(Input!$C$21:$AL$25,MATCH('Residential Bills_Yr 1_avg'!$A20,Input!$A$21:$A$25,0),MATCH('Residential Bills_Yr 1_avg'!R$13,Input!$C$20:$AL$20,0))</f>
        <v>0</v>
      </c>
      <c r="S20" s="24">
        <v>0</v>
      </c>
      <c r="T20" s="25">
        <f>ROUND(IFERROR(R20*S20," "),2)</f>
        <v>0</v>
      </c>
      <c r="V20" s="23">
        <f>INDEX(Input!$C$21:$AL$25,MATCH('Residential Bills_Yr 1_avg'!$A20,Input!$A$21:$A$25,0),MATCH('Residential Bills_Yr 1_avg'!V$13,Input!$C$20:$AL$20,0))</f>
        <v>0</v>
      </c>
      <c r="W20" s="24">
        <v>0</v>
      </c>
      <c r="X20" s="25">
        <f>ROUND(IFERROR(V20*W20," "),2)</f>
        <v>0</v>
      </c>
      <c r="Z20" s="23">
        <f>INDEX(Input!$C$21:$AL$25,MATCH('Residential Bills_Yr 1_avg'!$A20,Input!$A$21:$A$25,0),MATCH('Residential Bills_Yr 1_avg'!Z$13,Input!$C$20:$AL$20,0))</f>
        <v>0</v>
      </c>
      <c r="AA20" s="24">
        <v>0</v>
      </c>
      <c r="AB20" s="25">
        <f>ROUND(IFERROR(Z20*AA20," "),2)</f>
        <v>0</v>
      </c>
      <c r="AD20" s="23">
        <f>INDEX(Input!$C$21:$AL$25,MATCH('Residential Bills_Yr 1_avg'!$A20,Input!$A$21:$A$25,0),MATCH('Residential Bills_Yr 1_avg'!AD$13,Input!$C$20:$AL$20,0))</f>
        <v>0</v>
      </c>
      <c r="AE20" s="24">
        <v>0</v>
      </c>
      <c r="AF20" s="25">
        <f>ROUND(IFERROR(AD20*AE20," "),2)</f>
        <v>0</v>
      </c>
      <c r="AH20" s="23">
        <f>INDEX(Input!$C$21:$AL$25,MATCH('Residential Bills_Yr 1_avg'!$A20,Input!$A$21:$A$25,0),MATCH('Residential Bills_Yr 1_avg'!AH$13,Input!$C$20:$AL$20,0))</f>
        <v>0</v>
      </c>
      <c r="AI20" s="24">
        <v>0</v>
      </c>
      <c r="AJ20" s="25">
        <f>ROUND(IFERROR(AH20*AI20," "),2)</f>
        <v>0</v>
      </c>
      <c r="AL20" s="23">
        <f>INDEX(Input!$C$21:$AL$25,MATCH('Residential Bills_Yr 1_avg'!$A20,Input!$A$21:$A$25,0),MATCH('Residential Bills_Yr 1_avg'!AL$13,Input!$C$20:$AL$20,0))</f>
        <v>0</v>
      </c>
      <c r="AM20" s="24">
        <v>0</v>
      </c>
      <c r="AN20" s="25">
        <f>ROUND(IFERROR(AL20*AM20," "),2)</f>
        <v>0</v>
      </c>
      <c r="AP20" s="23">
        <f>INDEX(Input!$C$21:$AL$25,MATCH('Residential Bills_Yr 1_avg'!$A20,Input!$A$21:$A$25,0),MATCH('Residential Bills_Yr 1_avg'!AP$13,Input!$C$20:$AL$20,0))</f>
        <v>0</v>
      </c>
      <c r="AQ20" s="24">
        <v>0</v>
      </c>
      <c r="AR20" s="25">
        <f>ROUND(IFERROR(AP20*AQ20," "),2)</f>
        <v>0</v>
      </c>
      <c r="AS20" s="30"/>
      <c r="AT20" s="23">
        <f>INDEX(Input!$C$21:$AL$25,MATCH('Residential Bills_Yr 1_avg'!$A20,Input!$A$21:$A$25,0),MATCH('Residential Bills_Yr 1_avg'!AT$13,Input!$C$20:$AL$20,0))</f>
        <v>0</v>
      </c>
      <c r="AU20" s="24">
        <v>0</v>
      </c>
      <c r="AV20" s="25">
        <f>ROUND(IFERROR(AT20*AU20," "),2)</f>
        <v>0</v>
      </c>
    </row>
    <row r="21" spans="1:48" ht="14.5" customHeight="1" x14ac:dyDescent="0.55000000000000004">
      <c r="A21" t="str">
        <f>Input!A25</f>
        <v>Tier 5</v>
      </c>
      <c r="B21" s="23">
        <f>INDEX(Input!$C$21:$AL$25,MATCH('Residential Bills_Yr 1_avg'!$A21,Input!$A$21:$A$25,0),MATCH('Residential Bills_Yr 1_avg'!B$13,Input!$C$20:$AL$20,0))</f>
        <v>0</v>
      </c>
      <c r="C21" s="24" t="str">
        <f>IF(Input!F85="Tier 5",('Residential Bills_Yr 1_avg'!$B$7-'Residential Bills_Yr 1_avg'!C17-'Residential Bills_Yr 1_avg'!C18-'Residential Bills_Yr 1_avg'!C19-'Residential Bills_Yr 1_avg'!C20)," ")</f>
        <v xml:space="preserve"> </v>
      </c>
      <c r="D21" s="25" t="str">
        <f t="shared" ref="D21" si="0">IFERROR(B21*C21," ")</f>
        <v xml:space="preserve"> </v>
      </c>
      <c r="F21" s="23">
        <f>INDEX(Input!$C$21:$AL$25,MATCH('Residential Bills_Yr 1_avg'!$A21,Input!$A$21:$A$25,0),MATCH('Residential Bills_Yr 1_avg'!F$13,Input!$C$20:$AL$20,0))</f>
        <v>0</v>
      </c>
      <c r="G21" s="24" t="str">
        <f>IF(Input!G85="Tier 5",('Residential Bills_Yr 1_avg'!$B$7-'Residential Bills_Yr 1_avg'!G17-'Residential Bills_Yr 1_avg'!G18-'Residential Bills_Yr 1_avg'!G19-'Residential Bills_Yr 1_avg'!G20)," ")</f>
        <v xml:space="preserve"> </v>
      </c>
      <c r="H21" s="25" t="str">
        <f t="shared" ref="H21" si="1">IFERROR(F21*G21," ")</f>
        <v xml:space="preserve"> </v>
      </c>
      <c r="J21" s="23">
        <f>INDEX(Input!$C$21:$AL$25,MATCH('Residential Bills_Yr 1_avg'!$A21,Input!$A$21:$A$25,0),MATCH('Residential Bills_Yr 1_avg'!J$13,Input!$C$20:$AL$20,0))</f>
        <v>0</v>
      </c>
      <c r="K21" s="24" t="str">
        <f>IF(Input!H85="Tier 5",('Residential Bills_Yr 1_avg'!$B$7-'Residential Bills_Yr 1_avg'!K$17-'Residential Bills_Yr 1_avg'!K$18-'Residential Bills_Yr 1_avg'!K$19-'Residential Bills_Yr 1_avg'!K$20)," ")</f>
        <v xml:space="preserve"> </v>
      </c>
      <c r="L21" s="25" t="str">
        <f t="shared" ref="L21" si="2">IFERROR(J21*K21," ")</f>
        <v xml:space="preserve"> </v>
      </c>
      <c r="N21" s="23">
        <f>INDEX(Input!$C$21:$AL$25,MATCH('Residential Bills_Yr 1_avg'!$A21,Input!$A$21:$A$25,0),MATCH('Residential Bills_Yr 1_avg'!N$13,Input!$C$20:$AL$20,0))</f>
        <v>0</v>
      </c>
      <c r="O21" s="24" t="str">
        <f>IF(Input!I85="Tier 5",('Residential Bills_Yr 1_avg'!$B$7-'Residential Bills_Yr 1_avg'!O$17-'Residential Bills_Yr 1_avg'!O$18-'Residential Bills_Yr 1_avg'!O$19-'Residential Bills_Yr 1_avg'!O$20)," ")</f>
        <v xml:space="preserve"> </v>
      </c>
      <c r="P21" s="25" t="str">
        <f t="shared" ref="P21" si="3">IFERROR(N21*O21," ")</f>
        <v xml:space="preserve"> </v>
      </c>
      <c r="R21" s="23">
        <f>INDEX(Input!$C$21:$AL$25,MATCH('Residential Bills_Yr 1_avg'!$A21,Input!$A$21:$A$25,0),MATCH('Residential Bills_Yr 1_avg'!R$13,Input!$C$20:$AL$20,0))</f>
        <v>0</v>
      </c>
      <c r="S21" s="24" t="str">
        <f>IF(Input!J85="Tier 5",('Residential Bills_Yr 1_avg'!$B$7-'Residential Bills_Yr 1_avg'!S$17-'Residential Bills_Yr 1_avg'!S$18-'Residential Bills_Yr 1_avg'!S$19-'Residential Bills_Yr 1_avg'!S$20)," ")</f>
        <v xml:space="preserve"> </v>
      </c>
      <c r="T21" s="25" t="str">
        <f t="shared" ref="T21" si="4">IFERROR(R21*S21," ")</f>
        <v xml:space="preserve"> </v>
      </c>
      <c r="V21" s="23">
        <f>INDEX(Input!$C$21:$AL$25,MATCH('Residential Bills_Yr 1_avg'!$A21,Input!$A$21:$A$25,0),MATCH('Residential Bills_Yr 1_avg'!V$13,Input!$C$20:$AL$20,0))</f>
        <v>0</v>
      </c>
      <c r="W21" s="24" t="str">
        <f>IF(Input!K85="Tier 5",('Residential Bills_Yr 1_avg'!$B$7-'Residential Bills_Yr 1_avg'!W$17-'Residential Bills_Yr 1_avg'!W$18-'Residential Bills_Yr 1_avg'!W$19-'Residential Bills_Yr 1_avg'!W$20)," ")</f>
        <v xml:space="preserve"> </v>
      </c>
      <c r="X21" s="25" t="str">
        <f t="shared" ref="X21" si="5">IFERROR(V21*W21," ")</f>
        <v xml:space="preserve"> </v>
      </c>
      <c r="Z21" s="23">
        <f>INDEX(Input!$C$21:$AL$25,MATCH('Residential Bills_Yr 1_avg'!$A21,Input!$A$21:$A$25,0),MATCH('Residential Bills_Yr 1_avg'!Z$13,Input!$C$20:$AL$20,0))</f>
        <v>0</v>
      </c>
      <c r="AA21" s="24" t="str">
        <f>IF(Input!L85="Tier 5",('Residential Bills_Yr 1_avg'!$B$7-'Residential Bills_Yr 1_avg'!AA$17-'Residential Bills_Yr 1_avg'!AA$18-'Residential Bills_Yr 1_avg'!AA$19-'Residential Bills_Yr 1_avg'!AA$20)," ")</f>
        <v xml:space="preserve"> </v>
      </c>
      <c r="AB21" s="25" t="str">
        <f t="shared" ref="AB21" si="6">IFERROR(Z21*AA21," ")</f>
        <v xml:space="preserve"> </v>
      </c>
      <c r="AD21" s="23">
        <f>INDEX(Input!$C$21:$AL$25,MATCH('Residential Bills_Yr 1_avg'!$A21,Input!$A$21:$A$25,0),MATCH('Residential Bills_Yr 1_avg'!AD$13,Input!$C$20:$AL$20,0))</f>
        <v>0</v>
      </c>
      <c r="AE21" s="24" t="str">
        <f>IF(Input!M85="Tier 5",('Residential Bills_Yr 1_avg'!$B$7-'Residential Bills_Yr 1_avg'!AE$17-'Residential Bills_Yr 1_avg'!AE$18-'Residential Bills_Yr 1_avg'!AE$19-'Residential Bills_Yr 1_avg'!AE$20)," ")</f>
        <v xml:space="preserve"> </v>
      </c>
      <c r="AF21" s="25" t="str">
        <f t="shared" ref="AF21" si="7">IFERROR(AD21*AE21," ")</f>
        <v xml:space="preserve"> </v>
      </c>
      <c r="AH21" s="23">
        <f>INDEX(Input!$C$21:$AL$25,MATCH('Residential Bills_Yr 1_avg'!$A21,Input!$A$21:$A$25,0),MATCH('Residential Bills_Yr 1_avg'!AH$13,Input!$C$20:$AL$20,0))</f>
        <v>0</v>
      </c>
      <c r="AI21" s="24" t="str">
        <f>IF(Input!N85="Tier 5",('Residential Bills_Yr 1_avg'!$B$7-'Residential Bills_Yr 1_avg'!AI$17-'Residential Bills_Yr 1_avg'!AI$18-'Residential Bills_Yr 1_avg'!AI$19-'Residential Bills_Yr 1_avg'!AI$20)," ")</f>
        <v xml:space="preserve"> </v>
      </c>
      <c r="AJ21" s="25" t="str">
        <f t="shared" ref="AJ21" si="8">IFERROR(AH21*AI21," ")</f>
        <v xml:space="preserve"> </v>
      </c>
      <c r="AL21" s="23">
        <f>INDEX(Input!$C$21:$AL$25,MATCH('Residential Bills_Yr 1_avg'!$A21,Input!$A$21:$A$25,0),MATCH('Residential Bills_Yr 1_avg'!AL$13,Input!$C$20:$AL$20,0))</f>
        <v>0</v>
      </c>
      <c r="AM21" s="24" t="str">
        <f>IF(Input!O85="Tier 5",('Residential Bills_Yr 1_avg'!$B$7-'Residential Bills_Yr 1_avg'!AM$17-'Residential Bills_Yr 1_avg'!AM$18-'Residential Bills_Yr 1_avg'!AM$19-'Residential Bills_Yr 1_avg'!AM$20)," ")</f>
        <v xml:space="preserve"> </v>
      </c>
      <c r="AN21" s="25" t="str">
        <f t="shared" ref="AN21" si="9">IFERROR(AL21*AM21," ")</f>
        <v xml:space="preserve"> </v>
      </c>
      <c r="AP21" s="23">
        <f>INDEX(Input!$C$21:$AL$25,MATCH('Residential Bills_Yr 1_avg'!$A21,Input!$A$21:$A$25,0),MATCH('Residential Bills_Yr 1_avg'!AP$13,Input!$C$20:$AL$20,0))</f>
        <v>0</v>
      </c>
      <c r="AQ21" s="24" t="str">
        <f>IF(Input!P85="Tier 5",('Residential Bills_Yr 1_avg'!$B$7-'Residential Bills_Yr 1_avg'!AQ$17-'Residential Bills_Yr 1_avg'!AQ$18-'Residential Bills_Yr 1_avg'!AQ$19-'Residential Bills_Yr 1_avg'!AQ$20)," ")</f>
        <v xml:space="preserve"> </v>
      </c>
      <c r="AR21" s="25" t="str">
        <f t="shared" ref="AR21" si="10">IFERROR(AP21*AQ21," ")</f>
        <v xml:space="preserve"> </v>
      </c>
      <c r="AS21" s="30"/>
      <c r="AT21" s="23">
        <f>INDEX(Input!$C$21:$AL$25,MATCH('Residential Bills_Yr 1_avg'!$A21,Input!$A$21:$A$25,0),MATCH('Residential Bills_Yr 1_avg'!AT$13,Input!$C$20:$AL$20,0))</f>
        <v>0</v>
      </c>
      <c r="AU21" s="24" t="str">
        <f>IF(Input!Q85="Tier 5",('Residential Bills_Yr 1_avg'!$B$7-'Residential Bills_Yr 1_avg'!AU$17-'Residential Bills_Yr 1_avg'!AU$18-'Residential Bills_Yr 1_avg'!AU$19-'Residential Bills_Yr 1_avg'!AU$20)," ")</f>
        <v xml:space="preserve"> </v>
      </c>
      <c r="AV21" s="25" t="str">
        <f t="shared" ref="AV21" si="11">IFERROR(AT21*AU21," ")</f>
        <v xml:space="preserve"> </v>
      </c>
    </row>
    <row r="22" spans="1:48" x14ac:dyDescent="0.55000000000000004">
      <c r="A22" t="s">
        <v>39</v>
      </c>
      <c r="B22" s="16"/>
      <c r="C22" s="24">
        <f>SUM(C17:C21)</f>
        <v>11</v>
      </c>
      <c r="D22" s="26">
        <f>SUM(D17:D21)+D14</f>
        <v>96.52</v>
      </c>
      <c r="F22" s="16"/>
      <c r="G22" s="24">
        <f>SUM(G17:G21)</f>
        <v>11</v>
      </c>
      <c r="H22" s="26">
        <f>SUM(H17:H21)+H14</f>
        <v>96.52</v>
      </c>
      <c r="J22" s="16"/>
      <c r="K22" s="24">
        <f>SUM(K17:K21)</f>
        <v>11</v>
      </c>
      <c r="L22" s="26">
        <f>SUM(L17:L21)+L14</f>
        <v>96.52</v>
      </c>
      <c r="N22" s="16"/>
      <c r="O22" s="24">
        <f>SUM(O17:O21)</f>
        <v>11</v>
      </c>
      <c r="P22" s="26">
        <f>SUM(P17:P21)+P14</f>
        <v>96.52</v>
      </c>
      <c r="R22" s="16"/>
      <c r="S22" s="24">
        <f>SUM(S17:S21)</f>
        <v>11</v>
      </c>
      <c r="T22" s="26">
        <f>SUM(T17:T21)+T14</f>
        <v>96.52</v>
      </c>
      <c r="V22" s="16"/>
      <c r="W22" s="24">
        <f>SUM(W17:W21)</f>
        <v>11</v>
      </c>
      <c r="X22" s="26">
        <f>SUM(X17:X21)+X14</f>
        <v>96.52</v>
      </c>
      <c r="Z22" s="16"/>
      <c r="AA22" s="24">
        <f>SUM(AA17:AA21)</f>
        <v>11</v>
      </c>
      <c r="AB22" s="26">
        <f>SUM(AB17:AB21)+AB14</f>
        <v>102.23</v>
      </c>
      <c r="AD22" s="16"/>
      <c r="AE22" s="24">
        <f>SUM(AE17:AE21)</f>
        <v>11</v>
      </c>
      <c r="AF22" s="26">
        <f>SUM(AF17:AF21)+AF14</f>
        <v>102.23</v>
      </c>
      <c r="AH22" s="16"/>
      <c r="AI22" s="24">
        <f>SUM(AI17:AI21)</f>
        <v>11</v>
      </c>
      <c r="AJ22" s="26">
        <f>SUM(AJ17:AJ21)+AJ14</f>
        <v>102.23</v>
      </c>
      <c r="AL22" s="16"/>
      <c r="AM22" s="24">
        <f>SUM(AM17:AM21)</f>
        <v>11</v>
      </c>
      <c r="AN22" s="26">
        <f>SUM(AN17:AN21)+AN14</f>
        <v>102.23</v>
      </c>
      <c r="AP22" s="16"/>
      <c r="AQ22" s="24">
        <f>SUM(AQ17:AQ21)</f>
        <v>11</v>
      </c>
      <c r="AR22" s="26">
        <f>SUM(AR17:AR21)+AR14</f>
        <v>103.47</v>
      </c>
      <c r="AS22" s="64"/>
      <c r="AT22" s="16"/>
      <c r="AU22" s="24">
        <f>SUM(AU17:AU21)</f>
        <v>11</v>
      </c>
      <c r="AV22" s="26">
        <f>SUM(AV17:AV21)+AV14</f>
        <v>103.47</v>
      </c>
    </row>
    <row r="23" spans="1:48" x14ac:dyDescent="0.55000000000000004">
      <c r="B23" s="16"/>
      <c r="C23" s="17"/>
      <c r="D23" s="19"/>
      <c r="F23" s="16"/>
      <c r="G23" s="17"/>
      <c r="H23" s="19"/>
      <c r="J23" s="16"/>
      <c r="K23" s="17"/>
      <c r="L23" s="19"/>
      <c r="N23" s="16"/>
      <c r="O23" s="17"/>
      <c r="P23" s="19"/>
      <c r="R23" s="16"/>
      <c r="S23" s="17"/>
      <c r="T23" s="19"/>
      <c r="V23" s="16"/>
      <c r="W23" s="17"/>
      <c r="X23" s="19"/>
      <c r="Z23" s="16"/>
      <c r="AA23" s="17"/>
      <c r="AB23" s="19"/>
      <c r="AD23" s="16"/>
      <c r="AE23" s="17"/>
      <c r="AF23" s="19"/>
      <c r="AH23" s="16"/>
      <c r="AI23" s="17"/>
      <c r="AJ23" s="19"/>
      <c r="AL23" s="16"/>
      <c r="AM23" s="17"/>
      <c r="AN23" s="19"/>
      <c r="AP23" s="16"/>
      <c r="AQ23" s="17"/>
      <c r="AR23" s="19"/>
      <c r="AS23" s="17"/>
      <c r="AT23" s="16"/>
      <c r="AU23" s="17"/>
      <c r="AV23" s="19"/>
    </row>
    <row r="24" spans="1:48" x14ac:dyDescent="0.55000000000000004">
      <c r="A24" s="1" t="s">
        <v>34</v>
      </c>
      <c r="B24" s="20" t="s">
        <v>29</v>
      </c>
      <c r="C24" s="21" t="s">
        <v>44</v>
      </c>
      <c r="D24" s="22" t="s">
        <v>30</v>
      </c>
      <c r="F24" s="20" t="s">
        <v>29</v>
      </c>
      <c r="G24" s="21" t="s">
        <v>44</v>
      </c>
      <c r="H24" s="22" t="s">
        <v>30</v>
      </c>
      <c r="J24" s="20" t="s">
        <v>29</v>
      </c>
      <c r="K24" s="21" t="s">
        <v>44</v>
      </c>
      <c r="L24" s="22" t="s">
        <v>30</v>
      </c>
      <c r="N24" s="20" t="s">
        <v>29</v>
      </c>
      <c r="O24" s="21" t="s">
        <v>44</v>
      </c>
      <c r="P24" s="22" t="s">
        <v>30</v>
      </c>
      <c r="R24" s="20" t="s">
        <v>29</v>
      </c>
      <c r="S24" s="21" t="s">
        <v>44</v>
      </c>
      <c r="T24" s="22" t="s">
        <v>30</v>
      </c>
      <c r="V24" s="20" t="s">
        <v>29</v>
      </c>
      <c r="W24" s="21" t="s">
        <v>44</v>
      </c>
      <c r="X24" s="22" t="s">
        <v>30</v>
      </c>
      <c r="Z24" s="20" t="s">
        <v>29</v>
      </c>
      <c r="AA24" s="21" t="s">
        <v>44</v>
      </c>
      <c r="AB24" s="22" t="s">
        <v>30</v>
      </c>
      <c r="AD24" s="20" t="s">
        <v>29</v>
      </c>
      <c r="AE24" s="21" t="s">
        <v>44</v>
      </c>
      <c r="AF24" s="22" t="s">
        <v>30</v>
      </c>
      <c r="AH24" s="20" t="s">
        <v>29</v>
      </c>
      <c r="AI24" s="21" t="s">
        <v>44</v>
      </c>
      <c r="AJ24" s="22" t="s">
        <v>30</v>
      </c>
      <c r="AL24" s="20" t="s">
        <v>29</v>
      </c>
      <c r="AM24" s="21" t="s">
        <v>44</v>
      </c>
      <c r="AN24" s="22" t="s">
        <v>30</v>
      </c>
      <c r="AP24" s="20" t="s">
        <v>29</v>
      </c>
      <c r="AQ24" s="21" t="s">
        <v>44</v>
      </c>
      <c r="AR24" s="22" t="s">
        <v>30</v>
      </c>
      <c r="AS24" s="170"/>
      <c r="AT24" s="20" t="s">
        <v>29</v>
      </c>
      <c r="AU24" s="21" t="s">
        <v>44</v>
      </c>
      <c r="AV24" s="22" t="s">
        <v>30</v>
      </c>
    </row>
    <row r="25" spans="1:48" x14ac:dyDescent="0.55000000000000004">
      <c r="A25" t="str">
        <f>IF($B$9="No",Input!A46,"CAP Discount")</f>
        <v>SRF 1</v>
      </c>
      <c r="B25" s="173">
        <f>INDEX(Input!$C$46:$AM$58,MATCH($A25,Input!$A$46:$A$58,0),MATCH(B$13,Input!$C$45:$AM$45,0))</f>
        <v>0.04</v>
      </c>
      <c r="C25" s="31" t="str">
        <f>IF(VLOOKUP($A25,Input!$A$46:$B$58,2,FALSE)="Percentage",D$22,IF(VLOOKUP($A25,Input!$A$46:$B$58,2,FALSE)="Fixed","Fixed",(C$22)))</f>
        <v>Fixed</v>
      </c>
      <c r="D25" s="25">
        <f t="shared" ref="D25:D37" si="12">ROUND(IF(C25="Fixed",B25,(B25*C25)),2)</f>
        <v>0.04</v>
      </c>
      <c r="F25" s="173">
        <f>INDEX(Input!$C$46:$AM$58,MATCH($A25,Input!$A$46:$A$58,0),MATCH(F$13,Input!$C$45:$AM$45,0))</f>
        <v>0.04</v>
      </c>
      <c r="G25" s="31" t="str">
        <f>IF(VLOOKUP($A25,Input!$A$46:$B$58,2,FALSE)="Percentage",H$22,IF(VLOOKUP($A25,Input!$A$46:$B$58,2,FALSE)="Fixed","Fixed",(G$22)))</f>
        <v>Fixed</v>
      </c>
      <c r="H25" s="25">
        <f t="shared" ref="H25:H37" si="13">ROUND(IF(G25="Fixed",F25,(F25*G25)),2)</f>
        <v>0.04</v>
      </c>
      <c r="J25" s="173">
        <f>INDEX(Input!$C$46:$AM$58,MATCH($A25,Input!$A$46:$A$58,0),MATCH(J$13,Input!$C$45:$AM$45,0))</f>
        <v>0.04</v>
      </c>
      <c r="K25" s="31" t="str">
        <f>IF(VLOOKUP($A25,Input!$A$46:$B$58,2,FALSE)="Percentage",L$22,IF(VLOOKUP($A25,Input!$A$46:$B$58,2,FALSE)="Fixed","Fixed",(K$22)))</f>
        <v>Fixed</v>
      </c>
      <c r="L25" s="25">
        <f t="shared" ref="L25:L37" si="14">ROUND(IF(K25="Fixed",J25,(J25*K25)),2)</f>
        <v>0.04</v>
      </c>
      <c r="N25" s="173">
        <f>INDEX(Input!$C$46:$AM$58,MATCH($A25,Input!$A$46:$A$58,0),MATCH(N$13,Input!$C$45:$AM$45,0))</f>
        <v>0.04</v>
      </c>
      <c r="O25" s="31" t="str">
        <f>IF(VLOOKUP($A25,Input!$A$46:$B$58,2,FALSE)="Percentage",P$22,IF(VLOOKUP($A25,Input!$A$46:$B$58,2,FALSE)="Fixed","Fixed",(O$22)))</f>
        <v>Fixed</v>
      </c>
      <c r="P25" s="25">
        <f t="shared" ref="P25:P37" si="15">ROUND(IF(O25="Fixed",N25,(N25*O25)),2)</f>
        <v>0.04</v>
      </c>
      <c r="R25" s="173">
        <f>INDEX(Input!$C$46:$AM$58,MATCH($A25,Input!$A$46:$A$58,0),MATCH(R$13,Input!$C$45:$AM$45,0))</f>
        <v>0.04</v>
      </c>
      <c r="S25" s="31" t="str">
        <f>IF(VLOOKUP($A25,Input!$A$46:$B$58,2,FALSE)="Percentage",T$22,IF(VLOOKUP($A25,Input!$A$46:$B$58,2,FALSE)="Fixed","Fixed",(S$22)))</f>
        <v>Fixed</v>
      </c>
      <c r="T25" s="25">
        <f t="shared" ref="T25:T37" si="16">ROUND(IF(S25="Fixed",R25,(R25*S25)),2)</f>
        <v>0.04</v>
      </c>
      <c r="V25" s="173">
        <f>INDEX(Input!$C$46:$AM$58,MATCH($A25,Input!$A$46:$A$58,0),MATCH(V$13,Input!$C$45:$AM$45,0))</f>
        <v>0.04</v>
      </c>
      <c r="W25" s="31" t="str">
        <f>IF(VLOOKUP($A25,Input!$A$46:$B$58,2,FALSE)="Percentage",X$22,IF(VLOOKUP($A25,Input!$A$46:$B$58,2,FALSE)="Fixed","Fixed",(W$22)))</f>
        <v>Fixed</v>
      </c>
      <c r="X25" s="25">
        <f t="shared" ref="X25:X37" si="17">ROUND(IF(W25="Fixed",V25,(V25*W25)),2)</f>
        <v>0.04</v>
      </c>
      <c r="Z25" s="173">
        <f>INDEX(Input!$C$46:$AM$58,MATCH($A25,Input!$A$46:$A$58,0),MATCH(Z$13,Input!$C$45:$AM$45,0))</f>
        <v>0.04</v>
      </c>
      <c r="AA25" s="31" t="str">
        <f>IF(VLOOKUP($A25,Input!$A$46:$B$58,2,FALSE)="Percentage",AB$22,IF(VLOOKUP($A25,Input!$A$46:$B$58,2,FALSE)="Fixed","Fixed",(AA$22)))</f>
        <v>Fixed</v>
      </c>
      <c r="AB25" s="25">
        <f t="shared" ref="AB25:AB37" si="18">ROUND(IF(AA25="Fixed",Z25,(Z25*AA25)),2)</f>
        <v>0.04</v>
      </c>
      <c r="AD25" s="173">
        <f>INDEX(Input!$C$46:$AM$58,MATCH($A25,Input!$A$46:$A$58,0),MATCH(AD$13,Input!$C$45:$AM$45,0))</f>
        <v>0.04</v>
      </c>
      <c r="AE25" s="31" t="str">
        <f>IF(VLOOKUP($A25,Input!$A$46:$B$58,2,FALSE)="Percentage",AF$22,IF(VLOOKUP($A25,Input!$A$46:$B$58,2,FALSE)="Fixed","Fixed",(AE$22)))</f>
        <v>Fixed</v>
      </c>
      <c r="AF25" s="25">
        <f t="shared" ref="AF25:AF37" si="19">ROUND(IF(AE25="Fixed",AD25,(AD25*AE25)),2)</f>
        <v>0.04</v>
      </c>
      <c r="AH25" s="173">
        <f>INDEX(Input!$C$46:$AM$58,MATCH($A25,Input!$A$46:$A$58,0),MATCH(AH$13,Input!$C$45:$AM$45,0))</f>
        <v>0.04</v>
      </c>
      <c r="AI25" s="31" t="str">
        <f>IF(VLOOKUP($A25,Input!$A$46:$B$58,2,FALSE)="Percentage",AJ$22,IF(VLOOKUP($A25,Input!$A$46:$B$58,2,FALSE)="Fixed","Fixed",(AI$22)))</f>
        <v>Fixed</v>
      </c>
      <c r="AJ25" s="25">
        <f t="shared" ref="AJ25:AJ37" si="20">ROUND(IF(AI25="Fixed",AH25,(AH25*AI25)),2)</f>
        <v>0.04</v>
      </c>
      <c r="AL25" s="173">
        <f>INDEX(Input!$C$46:$AM$58,MATCH($A25,Input!$A$46:$A$58,0),MATCH(AL$13,Input!$C$45:$AM$45,0))</f>
        <v>0.04</v>
      </c>
      <c r="AM25" s="31" t="str">
        <f>IF(VLOOKUP($A25,Input!$A$46:$B$58,2,FALSE)="Percentage",AN$22,IF(VLOOKUP($A25,Input!$A$46:$B$58,2,FALSE)="Fixed","Fixed",(AM$22)))</f>
        <v>Fixed</v>
      </c>
      <c r="AN25" s="25">
        <f t="shared" ref="AN25:AN37" si="21">ROUND(IF(AM25="Fixed",AL25,(AL25*AM25)),2)</f>
        <v>0.04</v>
      </c>
      <c r="AP25" s="173">
        <f>INDEX(Input!$C$46:$AM$58,MATCH($A25,Input!$A$46:$A$58,0),MATCH(AP$13,Input!$C$45:$AM$45,0))</f>
        <v>0.04</v>
      </c>
      <c r="AQ25" s="31" t="str">
        <f>IF(VLOOKUP($A25,Input!$A$46:$B$58,2,FALSE)="Percentage",AR$22,IF(VLOOKUP($A25,Input!$A$46:$B$58,2,FALSE)="Fixed","Fixed",(AQ$22)))</f>
        <v>Fixed</v>
      </c>
      <c r="AR25" s="25">
        <f t="shared" ref="AR25:AR37" si="22">ROUND(IF(AQ25="Fixed",AP25,(AP25*AQ25)),2)</f>
        <v>0.04</v>
      </c>
      <c r="AT25" s="173">
        <f>INDEX(Input!$C$46:$AM$58,MATCH($A25,Input!$A$46:$A$58,0),MATCH(AT$13,Input!$C$45:$AM$45,0))</f>
        <v>0.04</v>
      </c>
      <c r="AU25" s="31" t="str">
        <f>IF(VLOOKUP($A25,Input!$A$46:$B$58,2,FALSE)="Percentage",AV$22,IF(VLOOKUP($A25,Input!$A$46:$B$58,2,FALSE)="Fixed","Fixed",(AU$22)))</f>
        <v>Fixed</v>
      </c>
      <c r="AV25" s="25">
        <f t="shared" ref="AV25:AV37" si="23">ROUND(IF(AU25="Fixed",AT25,(AT25*AU25)),2)</f>
        <v>0.04</v>
      </c>
    </row>
    <row r="26" spans="1:48" x14ac:dyDescent="0.55000000000000004">
      <c r="A26" t="str">
        <f>Input!A47</f>
        <v>SRF 2</v>
      </c>
      <c r="B26" s="173">
        <f>INDEX(Input!$C$46:$AM$58,MATCH($A26,Input!$A$46:$A$58,0),MATCH(B$13,Input!$C$45:$AM$45,0))</f>
        <v>0.02</v>
      </c>
      <c r="C26" s="31" t="str">
        <f>IF(VLOOKUP($A26,Input!$A$46:$B$58,2,FALSE)="Percentage",D$22,IF(VLOOKUP($A26,Input!$A$46:$B$58,2,FALSE)="Fixed","Fixed",(C$22)))</f>
        <v>Fixed</v>
      </c>
      <c r="D26" s="25">
        <f t="shared" si="12"/>
        <v>0.02</v>
      </c>
      <c r="F26" s="173">
        <f>INDEX(Input!$C$46:$AM$58,MATCH($A26,Input!$A$46:$A$58,0),MATCH(F$13,Input!$C$45:$AM$45,0))</f>
        <v>0.02</v>
      </c>
      <c r="G26" s="31" t="str">
        <f>IF(VLOOKUP($A26,Input!$A$46:$B$58,2,FALSE)="Percentage",H$22,IF(VLOOKUP($A26,Input!$A$46:$B$58,2,FALSE)="Fixed","Fixed",(G$22)))</f>
        <v>Fixed</v>
      </c>
      <c r="H26" s="25">
        <f t="shared" si="13"/>
        <v>0.02</v>
      </c>
      <c r="J26" s="173">
        <f>INDEX(Input!$C$46:$AM$58,MATCH($A26,Input!$A$46:$A$58,0),MATCH(J$13,Input!$C$45:$AM$45,0))</f>
        <v>0.02</v>
      </c>
      <c r="K26" s="31" t="str">
        <f>IF(VLOOKUP($A26,Input!$A$46:$B$58,2,FALSE)="Percentage",L$22,IF(VLOOKUP($A26,Input!$A$46:$B$58,2,FALSE)="Fixed","Fixed",(K$22)))</f>
        <v>Fixed</v>
      </c>
      <c r="L26" s="25">
        <f t="shared" si="14"/>
        <v>0.02</v>
      </c>
      <c r="N26" s="173">
        <f>INDEX(Input!$C$46:$AM$58,MATCH($A26,Input!$A$46:$A$58,0),MATCH(N$13,Input!$C$45:$AM$45,0))</f>
        <v>0.02</v>
      </c>
      <c r="O26" s="31" t="str">
        <f>IF(VLOOKUP($A26,Input!$A$46:$B$58,2,FALSE)="Percentage",P$22,IF(VLOOKUP($A26,Input!$A$46:$B$58,2,FALSE)="Fixed","Fixed",(O$22)))</f>
        <v>Fixed</v>
      </c>
      <c r="P26" s="25">
        <f t="shared" si="15"/>
        <v>0.02</v>
      </c>
      <c r="R26" s="173">
        <f>INDEX(Input!$C$46:$AM$58,MATCH($A26,Input!$A$46:$A$58,0),MATCH(R$13,Input!$C$45:$AM$45,0))</f>
        <v>0.02</v>
      </c>
      <c r="S26" s="31" t="str">
        <f>IF(VLOOKUP($A26,Input!$A$46:$B$58,2,FALSE)="Percentage",T$22,IF(VLOOKUP($A26,Input!$A$46:$B$58,2,FALSE)="Fixed","Fixed",(S$22)))</f>
        <v>Fixed</v>
      </c>
      <c r="T26" s="25">
        <f t="shared" si="16"/>
        <v>0.02</v>
      </c>
      <c r="V26" s="173">
        <f>INDEX(Input!$C$46:$AM$58,MATCH($A26,Input!$A$46:$A$58,0),MATCH(V$13,Input!$C$45:$AM$45,0))</f>
        <v>0.02</v>
      </c>
      <c r="W26" s="31" t="str">
        <f>IF(VLOOKUP($A26,Input!$A$46:$B$58,2,FALSE)="Percentage",X$22,IF(VLOOKUP($A26,Input!$A$46:$B$58,2,FALSE)="Fixed","Fixed",(W$22)))</f>
        <v>Fixed</v>
      </c>
      <c r="X26" s="25">
        <f t="shared" si="17"/>
        <v>0.02</v>
      </c>
      <c r="Z26" s="173">
        <f>INDEX(Input!$C$46:$AM$58,MATCH($A26,Input!$A$46:$A$58,0),MATCH(Z$13,Input!$C$45:$AM$45,0))</f>
        <v>0.02</v>
      </c>
      <c r="AA26" s="31" t="str">
        <f>IF(VLOOKUP($A26,Input!$A$46:$B$58,2,FALSE)="Percentage",AB$22,IF(VLOOKUP($A26,Input!$A$46:$B$58,2,FALSE)="Fixed","Fixed",(AA$22)))</f>
        <v>Fixed</v>
      </c>
      <c r="AB26" s="25">
        <f t="shared" si="18"/>
        <v>0.02</v>
      </c>
      <c r="AD26" s="173">
        <f>INDEX(Input!$C$46:$AM$58,MATCH($A26,Input!$A$46:$A$58,0),MATCH(AD$13,Input!$C$45:$AM$45,0))</f>
        <v>0.02</v>
      </c>
      <c r="AE26" s="31" t="str">
        <f>IF(VLOOKUP($A26,Input!$A$46:$B$58,2,FALSE)="Percentage",AF$22,IF(VLOOKUP($A26,Input!$A$46:$B$58,2,FALSE)="Fixed","Fixed",(AE$22)))</f>
        <v>Fixed</v>
      </c>
      <c r="AF26" s="25">
        <f t="shared" si="19"/>
        <v>0.02</v>
      </c>
      <c r="AH26" s="173">
        <f>INDEX(Input!$C$46:$AM$58,MATCH($A26,Input!$A$46:$A$58,0),MATCH(AH$13,Input!$C$45:$AM$45,0))</f>
        <v>0.02</v>
      </c>
      <c r="AI26" s="31" t="str">
        <f>IF(VLOOKUP($A26,Input!$A$46:$B$58,2,FALSE)="Percentage",AJ$22,IF(VLOOKUP($A26,Input!$A$46:$B$58,2,FALSE)="Fixed","Fixed",(AI$22)))</f>
        <v>Fixed</v>
      </c>
      <c r="AJ26" s="25">
        <f t="shared" si="20"/>
        <v>0.02</v>
      </c>
      <c r="AL26" s="173">
        <f>INDEX(Input!$C$46:$AM$58,MATCH($A26,Input!$A$46:$A$58,0),MATCH(AL$13,Input!$C$45:$AM$45,0))</f>
        <v>0.02</v>
      </c>
      <c r="AM26" s="31" t="str">
        <f>IF(VLOOKUP($A26,Input!$A$46:$B$58,2,FALSE)="Percentage",AN$22,IF(VLOOKUP($A26,Input!$A$46:$B$58,2,FALSE)="Fixed","Fixed",(AM$22)))</f>
        <v>Fixed</v>
      </c>
      <c r="AN26" s="25">
        <f t="shared" si="21"/>
        <v>0.02</v>
      </c>
      <c r="AP26" s="173">
        <f>INDEX(Input!$C$46:$AM$58,MATCH($A26,Input!$A$46:$A$58,0),MATCH(AP$13,Input!$C$45:$AM$45,0))</f>
        <v>0.02</v>
      </c>
      <c r="AQ26" s="31" t="str">
        <f>IF(VLOOKUP($A26,Input!$A$46:$B$58,2,FALSE)="Percentage",AR$22,IF(VLOOKUP($A26,Input!$A$46:$B$58,2,FALSE)="Fixed","Fixed",(AQ$22)))</f>
        <v>Fixed</v>
      </c>
      <c r="AR26" s="25">
        <f t="shared" si="22"/>
        <v>0.02</v>
      </c>
      <c r="AT26" s="173">
        <f>INDEX(Input!$C$46:$AM$58,MATCH($A26,Input!$A$46:$A$58,0),MATCH(AT$13,Input!$C$45:$AM$45,0))</f>
        <v>0.02</v>
      </c>
      <c r="AU26" s="31" t="str">
        <f>IF(VLOOKUP($A26,Input!$A$46:$B$58,2,FALSE)="Percentage",AV$22,IF(VLOOKUP($A26,Input!$A$46:$B$58,2,FALSE)="Fixed","Fixed",(AU$22)))</f>
        <v>Fixed</v>
      </c>
      <c r="AV26" s="25">
        <f t="shared" si="23"/>
        <v>0.02</v>
      </c>
    </row>
    <row r="27" spans="1:48" x14ac:dyDescent="0.55000000000000004">
      <c r="A27" t="str">
        <f>Input!A48</f>
        <v>WRAP</v>
      </c>
      <c r="B27" s="173">
        <f>INDEX(Input!$C$46:$AM$58,MATCH($A27,Input!$A$46:$A$58,0),MATCH(B$13,Input!$C$45:$AM$45,0))</f>
        <v>1.45</v>
      </c>
      <c r="C27" s="31" t="str">
        <f>IF(VLOOKUP($A27,Input!$A$46:$B$58,2,FALSE)="Percentage",D$22,IF(VLOOKUP($A27,Input!$A$46:$B$58,2,FALSE)="Fixed","Fixed",(C$22)))</f>
        <v>Fixed</v>
      </c>
      <c r="D27" s="25">
        <f t="shared" si="12"/>
        <v>1.45</v>
      </c>
      <c r="F27" s="173">
        <f>INDEX(Input!$C$46:$AM$58,MATCH($A27,Input!$A$46:$A$58,0),MATCH(F$13,Input!$C$45:$AM$45,0))</f>
        <v>1.45</v>
      </c>
      <c r="G27" s="31" t="str">
        <f>IF(VLOOKUP($A27,Input!$A$46:$B$58,2,FALSE)="Percentage",H$22,IF(VLOOKUP($A27,Input!$A$46:$B$58,2,FALSE)="Fixed","Fixed",(G$22)))</f>
        <v>Fixed</v>
      </c>
      <c r="H27" s="25">
        <f t="shared" si="13"/>
        <v>1.45</v>
      </c>
      <c r="J27" s="173">
        <f>INDEX(Input!$C$46:$AM$58,MATCH($A27,Input!$A$46:$A$58,0),MATCH(J$13,Input!$C$45:$AM$45,0))</f>
        <v>1.45</v>
      </c>
      <c r="K27" s="31" t="str">
        <f>IF(VLOOKUP($A27,Input!$A$46:$B$58,2,FALSE)="Percentage",L$22,IF(VLOOKUP($A27,Input!$A$46:$B$58,2,FALSE)="Fixed","Fixed",(K$22)))</f>
        <v>Fixed</v>
      </c>
      <c r="L27" s="25">
        <f t="shared" si="14"/>
        <v>1.45</v>
      </c>
      <c r="N27" s="173">
        <f>INDEX(Input!$C$46:$AM$58,MATCH($A27,Input!$A$46:$A$58,0),MATCH(N$13,Input!$C$45:$AM$45,0))</f>
        <v>1.45</v>
      </c>
      <c r="O27" s="31" t="str">
        <f>IF(VLOOKUP($A27,Input!$A$46:$B$58,2,FALSE)="Percentage",P$22,IF(VLOOKUP($A27,Input!$A$46:$B$58,2,FALSE)="Fixed","Fixed",(O$22)))</f>
        <v>Fixed</v>
      </c>
      <c r="P27" s="25">
        <f t="shared" si="15"/>
        <v>1.45</v>
      </c>
      <c r="R27" s="173">
        <f>INDEX(Input!$C$46:$AM$58,MATCH($A27,Input!$A$46:$A$58,0),MATCH(R$13,Input!$C$45:$AM$45,0))</f>
        <v>1.45</v>
      </c>
      <c r="S27" s="31" t="str">
        <f>IF(VLOOKUP($A27,Input!$A$46:$B$58,2,FALSE)="Percentage",T$22,IF(VLOOKUP($A27,Input!$A$46:$B$58,2,FALSE)="Fixed","Fixed",(S$22)))</f>
        <v>Fixed</v>
      </c>
      <c r="T27" s="25">
        <f t="shared" si="16"/>
        <v>1.45</v>
      </c>
      <c r="V27" s="173">
        <f>INDEX(Input!$C$46:$AM$58,MATCH($A27,Input!$A$46:$A$58,0),MATCH(V$13,Input!$C$45:$AM$45,0))</f>
        <v>1.45</v>
      </c>
      <c r="W27" s="31" t="str">
        <f>IF(VLOOKUP($A27,Input!$A$46:$B$58,2,FALSE)="Percentage",X$22,IF(VLOOKUP($A27,Input!$A$46:$B$58,2,FALSE)="Fixed","Fixed",(W$22)))</f>
        <v>Fixed</v>
      </c>
      <c r="X27" s="25">
        <f t="shared" si="17"/>
        <v>1.45</v>
      </c>
      <c r="Z27" s="173">
        <f>INDEX(Input!$C$46:$AM$58,MATCH($A27,Input!$A$46:$A$58,0),MATCH(Z$13,Input!$C$45:$AM$45,0))</f>
        <v>1.45</v>
      </c>
      <c r="AA27" s="31" t="str">
        <f>IF(VLOOKUP($A27,Input!$A$46:$B$58,2,FALSE)="Percentage",AB$22,IF(VLOOKUP($A27,Input!$A$46:$B$58,2,FALSE)="Fixed","Fixed",(AA$22)))</f>
        <v>Fixed</v>
      </c>
      <c r="AB27" s="25">
        <f t="shared" si="18"/>
        <v>1.45</v>
      </c>
      <c r="AD27" s="173">
        <f>INDEX(Input!$C$46:$AM$58,MATCH($A27,Input!$A$46:$A$58,0),MATCH(AD$13,Input!$C$45:$AM$45,0))</f>
        <v>1.45</v>
      </c>
      <c r="AE27" s="31" t="str">
        <f>IF(VLOOKUP($A27,Input!$A$46:$B$58,2,FALSE)="Percentage",AF$22,IF(VLOOKUP($A27,Input!$A$46:$B$58,2,FALSE)="Fixed","Fixed",(AE$22)))</f>
        <v>Fixed</v>
      </c>
      <c r="AF27" s="25">
        <f t="shared" si="19"/>
        <v>1.45</v>
      </c>
      <c r="AH27" s="173">
        <f>INDEX(Input!$C$46:$AM$58,MATCH($A27,Input!$A$46:$A$58,0),MATCH(AH$13,Input!$C$45:$AM$45,0))</f>
        <v>1.45</v>
      </c>
      <c r="AI27" s="31" t="str">
        <f>IF(VLOOKUP($A27,Input!$A$46:$B$58,2,FALSE)="Percentage",AJ$22,IF(VLOOKUP($A27,Input!$A$46:$B$58,2,FALSE)="Fixed","Fixed",(AI$22)))</f>
        <v>Fixed</v>
      </c>
      <c r="AJ27" s="25">
        <f t="shared" si="20"/>
        <v>1.45</v>
      </c>
      <c r="AL27" s="173">
        <f>INDEX(Input!$C$46:$AM$58,MATCH($A27,Input!$A$46:$A$58,0),MATCH(AL$13,Input!$C$45:$AM$45,0))</f>
        <v>1.45</v>
      </c>
      <c r="AM27" s="31" t="str">
        <f>IF(VLOOKUP($A27,Input!$A$46:$B$58,2,FALSE)="Percentage",AN$22,IF(VLOOKUP($A27,Input!$A$46:$B$58,2,FALSE)="Fixed","Fixed",(AM$22)))</f>
        <v>Fixed</v>
      </c>
      <c r="AN27" s="25">
        <f t="shared" si="21"/>
        <v>1.45</v>
      </c>
      <c r="AP27" s="173">
        <f>INDEX(Input!$C$46:$AM$58,MATCH($A27,Input!$A$46:$A$58,0),MATCH(AP$13,Input!$C$45:$AM$45,0))</f>
        <v>1.45</v>
      </c>
      <c r="AQ27" s="31" t="str">
        <f>IF(VLOOKUP($A27,Input!$A$46:$B$58,2,FALSE)="Percentage",AR$22,IF(VLOOKUP($A27,Input!$A$46:$B$58,2,FALSE)="Fixed","Fixed",(AQ$22)))</f>
        <v>Fixed</v>
      </c>
      <c r="AR27" s="25">
        <f t="shared" si="22"/>
        <v>1.45</v>
      </c>
      <c r="AT27" s="173">
        <f>INDEX(Input!$C$46:$AM$58,MATCH($A27,Input!$A$46:$A$58,0),MATCH(AT$13,Input!$C$45:$AM$45,0))</f>
        <v>1.45</v>
      </c>
      <c r="AU27" s="31" t="str">
        <f>IF(VLOOKUP($A27,Input!$A$46:$B$58,2,FALSE)="Percentage",AV$22,IF(VLOOKUP($A27,Input!$A$46:$B$58,2,FALSE)="Fixed","Fixed",(AU$22)))</f>
        <v>Fixed</v>
      </c>
      <c r="AV27" s="25">
        <f t="shared" si="23"/>
        <v>1.45</v>
      </c>
    </row>
    <row r="28" spans="1:48" x14ac:dyDescent="0.55000000000000004">
      <c r="A28" t="str">
        <f>Input!A49</f>
        <v>PRVMA</v>
      </c>
      <c r="B28" s="173">
        <f>INDEX(Input!$C$46:$AM$58,MATCH($A28,Input!$A$46:$A$58,0),MATCH(B$13,Input!$C$45:$AM$45,0))</f>
        <v>8.8400000000000006E-3</v>
      </c>
      <c r="C28" s="31">
        <f>IF(VLOOKUP($A28,Input!$A$46:$B$58,2,FALSE)="Percentage",D$22,IF(VLOOKUP($A28,Input!$A$46:$B$58,2,FALSE)="Fixed","Fixed",(C$22)))</f>
        <v>11</v>
      </c>
      <c r="D28" s="25">
        <f t="shared" si="12"/>
        <v>0.1</v>
      </c>
      <c r="F28" s="173">
        <f>INDEX(Input!$C$46:$AM$58,MATCH($A28,Input!$A$46:$A$58,0),MATCH(F$13,Input!$C$45:$AM$45,0))</f>
        <v>8.8400000000000006E-3</v>
      </c>
      <c r="G28" s="31">
        <f>IF(VLOOKUP($A28,Input!$A$46:$B$58,2,FALSE)="Percentage",H$22,IF(VLOOKUP($A28,Input!$A$46:$B$58,2,FALSE)="Fixed","Fixed",(G$22)))</f>
        <v>11</v>
      </c>
      <c r="H28" s="25">
        <f t="shared" si="13"/>
        <v>0.1</v>
      </c>
      <c r="J28" s="173">
        <f>INDEX(Input!$C$46:$AM$58,MATCH($A28,Input!$A$46:$A$58,0),MATCH(J$13,Input!$C$45:$AM$45,0))</f>
        <v>8.8400000000000006E-3</v>
      </c>
      <c r="K28" s="31">
        <f>IF(VLOOKUP($A28,Input!$A$46:$B$58,2,FALSE)="Percentage",L$22,IF(VLOOKUP($A28,Input!$A$46:$B$58,2,FALSE)="Fixed","Fixed",(K$22)))</f>
        <v>11</v>
      </c>
      <c r="L28" s="25">
        <f t="shared" si="14"/>
        <v>0.1</v>
      </c>
      <c r="N28" s="173">
        <f>INDEX(Input!$C$46:$AM$58,MATCH($A28,Input!$A$46:$A$58,0),MATCH(N$13,Input!$C$45:$AM$45,0))</f>
        <v>8.8400000000000006E-3</v>
      </c>
      <c r="O28" s="31">
        <f>IF(VLOOKUP($A28,Input!$A$46:$B$58,2,FALSE)="Percentage",P$22,IF(VLOOKUP($A28,Input!$A$46:$B$58,2,FALSE)="Fixed","Fixed",(O$22)))</f>
        <v>11</v>
      </c>
      <c r="P28" s="25">
        <f t="shared" si="15"/>
        <v>0.1</v>
      </c>
      <c r="R28" s="173">
        <f>INDEX(Input!$C$46:$AM$58,MATCH($A28,Input!$A$46:$A$58,0),MATCH(R$13,Input!$C$45:$AM$45,0))</f>
        <v>8.8400000000000006E-3</v>
      </c>
      <c r="S28" s="31">
        <f>IF(VLOOKUP($A28,Input!$A$46:$B$58,2,FALSE)="Percentage",T$22,IF(VLOOKUP($A28,Input!$A$46:$B$58,2,FALSE)="Fixed","Fixed",(S$22)))</f>
        <v>11</v>
      </c>
      <c r="T28" s="25">
        <f t="shared" si="16"/>
        <v>0.1</v>
      </c>
      <c r="V28" s="173">
        <f>INDEX(Input!$C$46:$AM$58,MATCH($A28,Input!$A$46:$A$58,0),MATCH(V$13,Input!$C$45:$AM$45,0))</f>
        <v>8.8400000000000006E-3</v>
      </c>
      <c r="W28" s="31">
        <f>IF(VLOOKUP($A28,Input!$A$46:$B$58,2,FALSE)="Percentage",X$22,IF(VLOOKUP($A28,Input!$A$46:$B$58,2,FALSE)="Fixed","Fixed",(W$22)))</f>
        <v>11</v>
      </c>
      <c r="X28" s="25">
        <f t="shared" si="17"/>
        <v>0.1</v>
      </c>
      <c r="Z28" s="173">
        <f>INDEX(Input!$C$46:$AM$58,MATCH($A28,Input!$A$46:$A$58,0),MATCH(Z$13,Input!$C$45:$AM$45,0))</f>
        <v>8.8400000000000006E-3</v>
      </c>
      <c r="AA28" s="31">
        <f>IF(VLOOKUP($A28,Input!$A$46:$B$58,2,FALSE)="Percentage",AB$22,IF(VLOOKUP($A28,Input!$A$46:$B$58,2,FALSE)="Fixed","Fixed",(AA$22)))</f>
        <v>11</v>
      </c>
      <c r="AB28" s="25">
        <f t="shared" si="18"/>
        <v>0.1</v>
      </c>
      <c r="AD28" s="173">
        <f>INDEX(Input!$C$46:$AM$58,MATCH($A28,Input!$A$46:$A$58,0),MATCH(AD$13,Input!$C$45:$AM$45,0))</f>
        <v>8.8400000000000006E-3</v>
      </c>
      <c r="AE28" s="31">
        <f>IF(VLOOKUP($A28,Input!$A$46:$B$58,2,FALSE)="Percentage",AF$22,IF(VLOOKUP($A28,Input!$A$46:$B$58,2,FALSE)="Fixed","Fixed",(AE$22)))</f>
        <v>11</v>
      </c>
      <c r="AF28" s="25">
        <f t="shared" si="19"/>
        <v>0.1</v>
      </c>
      <c r="AH28" s="173">
        <f>INDEX(Input!$C$46:$AM$58,MATCH($A28,Input!$A$46:$A$58,0),MATCH(AH$13,Input!$C$45:$AM$45,0))</f>
        <v>8.8400000000000006E-3</v>
      </c>
      <c r="AI28" s="31">
        <f>IF(VLOOKUP($A28,Input!$A$46:$B$58,2,FALSE)="Percentage",AJ$22,IF(VLOOKUP($A28,Input!$A$46:$B$58,2,FALSE)="Fixed","Fixed",(AI$22)))</f>
        <v>11</v>
      </c>
      <c r="AJ28" s="25">
        <f t="shared" si="20"/>
        <v>0.1</v>
      </c>
      <c r="AL28" s="173">
        <f>INDEX(Input!$C$46:$AM$58,MATCH($A28,Input!$A$46:$A$58,0),MATCH(AL$13,Input!$C$45:$AM$45,0))</f>
        <v>8.8400000000000006E-3</v>
      </c>
      <c r="AM28" s="31">
        <f>IF(VLOOKUP($A28,Input!$A$46:$B$58,2,FALSE)="Percentage",AN$22,IF(VLOOKUP($A28,Input!$A$46:$B$58,2,FALSE)="Fixed","Fixed",(AM$22)))</f>
        <v>11</v>
      </c>
      <c r="AN28" s="25">
        <f t="shared" si="21"/>
        <v>0.1</v>
      </c>
      <c r="AP28" s="173">
        <f>INDEX(Input!$C$46:$AM$58,MATCH($A28,Input!$A$46:$A$58,0),MATCH(AP$13,Input!$C$45:$AM$45,0))</f>
        <v>8.8400000000000006E-3</v>
      </c>
      <c r="AQ28" s="31">
        <f>IF(VLOOKUP($A28,Input!$A$46:$B$58,2,FALSE)="Percentage",AR$22,IF(VLOOKUP($A28,Input!$A$46:$B$58,2,FALSE)="Fixed","Fixed",(AQ$22)))</f>
        <v>11</v>
      </c>
      <c r="AR28" s="25">
        <f t="shared" si="22"/>
        <v>0.1</v>
      </c>
      <c r="AT28" s="186">
        <f>INDEX(Input!$C$46:$AM$58,MATCH($A28,Input!$A$46:$A$58,0),MATCH(AT$13,Input!$C$45:$AM$45,0))</f>
        <v>8.8400000000000006E-3</v>
      </c>
      <c r="AU28" s="31">
        <f>IF(VLOOKUP($A28,Input!$A$46:$B$58,2,FALSE)="Percentage",AV$22,IF(VLOOKUP($A28,Input!$A$46:$B$58,2,FALSE)="Fixed","Fixed",(AU$22)))</f>
        <v>11</v>
      </c>
      <c r="AV28" s="25">
        <f t="shared" si="23"/>
        <v>0.1</v>
      </c>
    </row>
    <row r="29" spans="1:48" x14ac:dyDescent="0.55000000000000004">
      <c r="A29" t="str">
        <f>Input!A50</f>
        <v>2022 Surcredit</v>
      </c>
      <c r="B29" s="173">
        <f>INDEX(Input!$C$46:$AM$58,MATCH($A29,Input!$A$46:$A$58,0),MATCH(B$13,Input!$C$45:$AM$45,0))</f>
        <v>0</v>
      </c>
      <c r="C29" s="31" t="str">
        <f>IF(VLOOKUP($A29,Input!$A$46:$B$58,2,FALSE)="Percentage",D$22,IF(VLOOKUP($A29,Input!$A$46:$B$58,2,FALSE)="Fixed","Fixed",(C$22)))</f>
        <v>Fixed</v>
      </c>
      <c r="D29" s="25">
        <f t="shared" si="12"/>
        <v>0</v>
      </c>
      <c r="F29" s="173">
        <f>INDEX(Input!$C$46:$AM$58,MATCH($A29,Input!$A$46:$A$58,0),MATCH(F$13,Input!$C$45:$AM$45,0))</f>
        <v>0</v>
      </c>
      <c r="G29" s="31" t="str">
        <f>IF(VLOOKUP($A29,Input!$A$46:$B$58,2,FALSE)="Percentage",H$22,IF(VLOOKUP($A29,Input!$A$46:$B$58,2,FALSE)="Fixed","Fixed",(G$22)))</f>
        <v>Fixed</v>
      </c>
      <c r="H29" s="25">
        <f t="shared" si="13"/>
        <v>0</v>
      </c>
      <c r="J29" s="173">
        <f>INDEX(Input!$C$46:$AM$58,MATCH($A29,Input!$A$46:$A$58,0),MATCH(J$13,Input!$C$45:$AM$45,0))</f>
        <v>0</v>
      </c>
      <c r="K29" s="31" t="str">
        <f>IF(VLOOKUP($A29,Input!$A$46:$B$58,2,FALSE)="Percentage",L$22,IF(VLOOKUP($A29,Input!$A$46:$B$58,2,FALSE)="Fixed","Fixed",(K$22)))</f>
        <v>Fixed</v>
      </c>
      <c r="L29" s="25">
        <f t="shared" si="14"/>
        <v>0</v>
      </c>
      <c r="N29" s="173">
        <f>INDEX(Input!$C$46:$AM$58,MATCH($A29,Input!$A$46:$A$58,0),MATCH(N$13,Input!$C$45:$AM$45,0))</f>
        <v>0</v>
      </c>
      <c r="O29" s="31" t="str">
        <f>IF(VLOOKUP($A29,Input!$A$46:$B$58,2,FALSE)="Percentage",P$22,IF(VLOOKUP($A29,Input!$A$46:$B$58,2,FALSE)="Fixed","Fixed",(O$22)))</f>
        <v>Fixed</v>
      </c>
      <c r="P29" s="25">
        <f t="shared" si="15"/>
        <v>0</v>
      </c>
      <c r="R29" s="173">
        <f>INDEX(Input!$C$46:$AM$58,MATCH($A29,Input!$A$46:$A$58,0),MATCH(R$13,Input!$C$45:$AM$45,0))</f>
        <v>0</v>
      </c>
      <c r="S29" s="31" t="str">
        <f>IF(VLOOKUP($A29,Input!$A$46:$B$58,2,FALSE)="Percentage",T$22,IF(VLOOKUP($A29,Input!$A$46:$B$58,2,FALSE)="Fixed","Fixed",(S$22)))</f>
        <v>Fixed</v>
      </c>
      <c r="T29" s="25">
        <f t="shared" si="16"/>
        <v>0</v>
      </c>
      <c r="V29" s="173">
        <f>INDEX(Input!$C$46:$AM$58,MATCH($A29,Input!$A$46:$A$58,0),MATCH(V$13,Input!$C$45:$AM$45,0))</f>
        <v>0</v>
      </c>
      <c r="W29" s="31" t="str">
        <f>IF(VLOOKUP($A29,Input!$A$46:$B$58,2,FALSE)="Percentage",X$22,IF(VLOOKUP($A29,Input!$A$46:$B$58,2,FALSE)="Fixed","Fixed",(W$22)))</f>
        <v>Fixed</v>
      </c>
      <c r="X29" s="25">
        <f t="shared" si="17"/>
        <v>0</v>
      </c>
      <c r="Z29" s="173">
        <f>INDEX(Input!$C$46:$AM$58,MATCH($A29,Input!$A$46:$A$58,0),MATCH(Z$13,Input!$C$45:$AM$45,0))</f>
        <v>0</v>
      </c>
      <c r="AA29" s="31" t="str">
        <f>IF(VLOOKUP($A29,Input!$A$46:$B$58,2,FALSE)="Percentage",AB$22,IF(VLOOKUP($A29,Input!$A$46:$B$58,2,FALSE)="Fixed","Fixed",(AA$22)))</f>
        <v>Fixed</v>
      </c>
      <c r="AB29" s="25">
        <f t="shared" si="18"/>
        <v>0</v>
      </c>
      <c r="AD29" s="173">
        <f>INDEX(Input!$C$46:$AM$58,MATCH($A29,Input!$A$46:$A$58,0),MATCH(AD$13,Input!$C$45:$AM$45,0))</f>
        <v>0</v>
      </c>
      <c r="AE29" s="31" t="str">
        <f>IF(VLOOKUP($A29,Input!$A$46:$B$58,2,FALSE)="Percentage",AF$22,IF(VLOOKUP($A29,Input!$A$46:$B$58,2,FALSE)="Fixed","Fixed",(AE$22)))</f>
        <v>Fixed</v>
      </c>
      <c r="AF29" s="25">
        <f t="shared" si="19"/>
        <v>0</v>
      </c>
      <c r="AH29" s="173">
        <f>INDEX(Input!$C$46:$AM$58,MATCH($A29,Input!$A$46:$A$58,0),MATCH(AH$13,Input!$C$45:$AM$45,0))</f>
        <v>0</v>
      </c>
      <c r="AI29" s="31" t="str">
        <f>IF(VLOOKUP($A29,Input!$A$46:$B$58,2,FALSE)="Percentage",AJ$22,IF(VLOOKUP($A29,Input!$A$46:$B$58,2,FALSE)="Fixed","Fixed",(AI$22)))</f>
        <v>Fixed</v>
      </c>
      <c r="AJ29" s="25">
        <f t="shared" si="20"/>
        <v>0</v>
      </c>
      <c r="AL29" s="173">
        <f>INDEX(Input!$C$46:$AM$58,MATCH($A29,Input!$A$46:$A$58,0),MATCH(AL$13,Input!$C$45:$AM$45,0))</f>
        <v>0</v>
      </c>
      <c r="AM29" s="31" t="str">
        <f>IF(VLOOKUP($A29,Input!$A$46:$B$58,2,FALSE)="Percentage",AN$22,IF(VLOOKUP($A29,Input!$A$46:$B$58,2,FALSE)="Fixed","Fixed",(AM$22)))</f>
        <v>Fixed</v>
      </c>
      <c r="AN29" s="25">
        <f t="shared" si="21"/>
        <v>0</v>
      </c>
      <c r="AP29" s="173">
        <f>INDEX(Input!$C$46:$AM$58,MATCH($A29,Input!$A$46:$A$58,0),MATCH(AP$13,Input!$C$45:$AM$45,0))</f>
        <v>-5.65</v>
      </c>
      <c r="AQ29" s="31" t="str">
        <f>IF(VLOOKUP($A29,Input!$A$46:$B$58,2,FALSE)="Percentage",AR$22,IF(VLOOKUP($A29,Input!$A$46:$B$58,2,FALSE)="Fixed","Fixed",(AQ$22)))</f>
        <v>Fixed</v>
      </c>
      <c r="AR29" s="25">
        <f t="shared" si="22"/>
        <v>-5.65</v>
      </c>
      <c r="AT29" s="173">
        <f>INDEX(Input!$C$46:$AM$58,MATCH($A29,Input!$A$46:$A$58,0),MATCH(AT$13,Input!$C$45:$AM$45,0))</f>
        <v>0</v>
      </c>
      <c r="AU29" s="31" t="str">
        <f>IF(VLOOKUP($A29,Input!$A$46:$B$58,2,FALSE)="Percentage",AV$22,IF(VLOOKUP($A29,Input!$A$46:$B$58,2,FALSE)="Fixed","Fixed",(AU$22)))</f>
        <v>Fixed</v>
      </c>
      <c r="AV29" s="25">
        <f t="shared" si="23"/>
        <v>0</v>
      </c>
    </row>
    <row r="30" spans="1:48" x14ac:dyDescent="0.55000000000000004">
      <c r="A30" t="str">
        <f>Input!A51</f>
        <v>Interim Memo Account Surcharge</v>
      </c>
      <c r="B30" s="173">
        <f>INDEX(Input!$C$46:$AM$58,MATCH($A30,Input!$A$46:$A$58,0),MATCH(B$13,Input!$C$45:$AM$45,0))</f>
        <v>0</v>
      </c>
      <c r="C30" s="31">
        <f>IF(VLOOKUP($A30,Input!$A$46:$B$58,2,FALSE)="Percentage",D$22,IF(VLOOKUP($A30,Input!$A$46:$B$58,2,FALSE)="Fixed","Fixed",(C$22)))</f>
        <v>11</v>
      </c>
      <c r="D30" s="25">
        <f t="shared" si="12"/>
        <v>0</v>
      </c>
      <c r="F30" s="173">
        <f>INDEX(Input!$C$46:$AM$58,MATCH($A30,Input!$A$46:$A$58,0),MATCH(F$13,Input!$C$45:$AM$45,0))</f>
        <v>0</v>
      </c>
      <c r="G30" s="31">
        <f>IF(VLOOKUP($A30,Input!$A$46:$B$58,2,FALSE)="Percentage",H$22,IF(VLOOKUP($A30,Input!$A$46:$B$58,2,FALSE)="Fixed","Fixed",(G$22)))</f>
        <v>11</v>
      </c>
      <c r="H30" s="25">
        <f t="shared" si="13"/>
        <v>0</v>
      </c>
      <c r="J30" s="173">
        <f>INDEX(Input!$C$46:$AM$58,MATCH($A30,Input!$A$46:$A$58,0),MATCH(J$13,Input!$C$45:$AM$45,0))</f>
        <v>0</v>
      </c>
      <c r="K30" s="31">
        <f>IF(VLOOKUP($A30,Input!$A$46:$B$58,2,FALSE)="Percentage",L$22,IF(VLOOKUP($A30,Input!$A$46:$B$58,2,FALSE)="Fixed","Fixed",(K$22)))</f>
        <v>11</v>
      </c>
      <c r="L30" s="25">
        <f t="shared" si="14"/>
        <v>0</v>
      </c>
      <c r="N30" s="173">
        <f>INDEX(Input!$C$46:$AM$58,MATCH($A30,Input!$A$46:$A$58,0),MATCH(N$13,Input!$C$45:$AM$45,0))</f>
        <v>0</v>
      </c>
      <c r="O30" s="31">
        <f>IF(VLOOKUP($A30,Input!$A$46:$B$58,2,FALSE)="Percentage",P$22,IF(VLOOKUP($A30,Input!$A$46:$B$58,2,FALSE)="Fixed","Fixed",(O$22)))</f>
        <v>11</v>
      </c>
      <c r="P30" s="25">
        <f t="shared" si="15"/>
        <v>0</v>
      </c>
      <c r="R30" s="173">
        <f>INDEX(Input!$C$46:$AM$58,MATCH($A30,Input!$A$46:$A$58,0),MATCH(R$13,Input!$C$45:$AM$45,0))</f>
        <v>0</v>
      </c>
      <c r="S30" s="31">
        <f>IF(VLOOKUP($A30,Input!$A$46:$B$58,2,FALSE)="Percentage",T$22,IF(VLOOKUP($A30,Input!$A$46:$B$58,2,FALSE)="Fixed","Fixed",(S$22)))</f>
        <v>11</v>
      </c>
      <c r="T30" s="25">
        <f t="shared" si="16"/>
        <v>0</v>
      </c>
      <c r="V30" s="173">
        <f>INDEX(Input!$C$46:$AM$58,MATCH($A30,Input!$A$46:$A$58,0),MATCH(V$13,Input!$C$45:$AM$45,0))</f>
        <v>0</v>
      </c>
      <c r="W30" s="31">
        <f>IF(VLOOKUP($A30,Input!$A$46:$B$58,2,FALSE)="Percentage",X$22,IF(VLOOKUP($A30,Input!$A$46:$B$58,2,FALSE)="Fixed","Fixed",(W$22)))</f>
        <v>11</v>
      </c>
      <c r="X30" s="25">
        <f t="shared" si="17"/>
        <v>0</v>
      </c>
      <c r="Z30" s="173">
        <f>INDEX(Input!$C$46:$AM$58,MATCH($A30,Input!$A$46:$A$58,0),MATCH(Z$13,Input!$C$45:$AM$45,0))</f>
        <v>0</v>
      </c>
      <c r="AA30" s="31">
        <f>IF(VLOOKUP($A30,Input!$A$46:$B$58,2,FALSE)="Percentage",AB$22,IF(VLOOKUP($A30,Input!$A$46:$B$58,2,FALSE)="Fixed","Fixed",(AA$22)))</f>
        <v>11</v>
      </c>
      <c r="AB30" s="25">
        <f t="shared" si="18"/>
        <v>0</v>
      </c>
      <c r="AD30" s="173">
        <f>INDEX(Input!$C$46:$AM$58,MATCH($A30,Input!$A$46:$A$58,0),MATCH(AD$13,Input!$C$45:$AM$45,0))</f>
        <v>0</v>
      </c>
      <c r="AE30" s="31">
        <f>IF(VLOOKUP($A30,Input!$A$46:$B$58,2,FALSE)="Percentage",AF$22,IF(VLOOKUP($A30,Input!$A$46:$B$58,2,FALSE)="Fixed","Fixed",(AE$22)))</f>
        <v>11</v>
      </c>
      <c r="AF30" s="25">
        <f t="shared" si="19"/>
        <v>0</v>
      </c>
      <c r="AH30" s="173">
        <f>INDEX(Input!$C$46:$AM$58,MATCH($A30,Input!$A$46:$A$58,0),MATCH(AH$13,Input!$C$45:$AM$45,0))</f>
        <v>0</v>
      </c>
      <c r="AI30" s="31">
        <f>IF(VLOOKUP($A30,Input!$A$46:$B$58,2,FALSE)="Percentage",AJ$22,IF(VLOOKUP($A30,Input!$A$46:$B$58,2,FALSE)="Fixed","Fixed",(AI$22)))</f>
        <v>11</v>
      </c>
      <c r="AJ30" s="25">
        <f t="shared" si="20"/>
        <v>0</v>
      </c>
      <c r="AL30" s="173">
        <f>INDEX(Input!$C$46:$AM$58,MATCH($A30,Input!$A$46:$A$58,0),MATCH(AL$13,Input!$C$45:$AM$45,0))</f>
        <v>0</v>
      </c>
      <c r="AM30" s="31">
        <f>IF(VLOOKUP($A30,Input!$A$46:$B$58,2,FALSE)="Percentage",AN$22,IF(VLOOKUP($A30,Input!$A$46:$B$58,2,FALSE)="Fixed","Fixed",(AM$22)))</f>
        <v>11</v>
      </c>
      <c r="AN30" s="25">
        <f t="shared" si="21"/>
        <v>0</v>
      </c>
      <c r="AP30" s="173">
        <f>INDEX(Input!$C$46:$AM$58,MATCH($A30,Input!$A$46:$A$58,0),MATCH(AP$13,Input!$C$45:$AM$45,0))</f>
        <v>0</v>
      </c>
      <c r="AQ30" s="31">
        <f>IF(VLOOKUP($A30,Input!$A$46:$B$58,2,FALSE)="Percentage",AR$22,IF(VLOOKUP($A30,Input!$A$46:$B$58,2,FALSE)="Fixed","Fixed",(AQ$22)))</f>
        <v>11</v>
      </c>
      <c r="AR30" s="25">
        <f t="shared" si="22"/>
        <v>0</v>
      </c>
      <c r="AT30" s="173">
        <f>INDEX(Input!$C$46:$AM$58,MATCH($A30,Input!$A$46:$A$58,0),MATCH(AT$13,Input!$C$45:$AM$45,0))</f>
        <v>0</v>
      </c>
      <c r="AU30" s="31">
        <f>IF(VLOOKUP($A30,Input!$A$46:$B$58,2,FALSE)="Percentage",AV$22,IF(VLOOKUP($A30,Input!$A$46:$B$58,2,FALSE)="Fixed","Fixed",(AU$22)))</f>
        <v>11</v>
      </c>
      <c r="AV30" s="25">
        <f>ROUND(IF(AU30="Fixed",AT30,(AT30*AU30)),2)</f>
        <v>0</v>
      </c>
    </row>
    <row r="31" spans="1:48" x14ac:dyDescent="0.55000000000000004">
      <c r="A31">
        <f>Input!A52</f>
        <v>0</v>
      </c>
      <c r="B31" s="173">
        <f>INDEX(Input!$C$46:$AM$58,MATCH($A31,Input!$A$46:$A$58,0),MATCH(B$13,Input!$C$45:$AM$45,0))</f>
        <v>0</v>
      </c>
      <c r="C31" s="31">
        <f>IF(VLOOKUP($A31,Input!$A$46:$B$58,2,FALSE)="Percentage",D$22,IF(VLOOKUP($A31,Input!$A$46:$B$58,2,FALSE)="Fixed","Fixed",(C$22)))</f>
        <v>11</v>
      </c>
      <c r="D31" s="25">
        <f t="shared" si="12"/>
        <v>0</v>
      </c>
      <c r="F31" s="173">
        <f>INDEX(Input!$C$46:$AM$58,MATCH($A31,Input!$A$46:$A$58,0),MATCH(F$13,Input!$C$45:$AM$45,0))</f>
        <v>0</v>
      </c>
      <c r="G31" s="31">
        <f>IF(VLOOKUP($A31,Input!$A$46:$B$58,2,FALSE)="Percentage",H$22,IF(VLOOKUP($A31,Input!$A$46:$B$58,2,FALSE)="Fixed","Fixed",(G$22)))</f>
        <v>11</v>
      </c>
      <c r="H31" s="25">
        <f t="shared" si="13"/>
        <v>0</v>
      </c>
      <c r="J31" s="173">
        <f>INDEX(Input!$C$46:$AM$58,MATCH($A31,Input!$A$46:$A$58,0),MATCH(J$13,Input!$C$45:$AM$45,0))</f>
        <v>0</v>
      </c>
      <c r="K31" s="31">
        <f>IF(VLOOKUP($A31,Input!$A$46:$B$58,2,FALSE)="Percentage",L$22,IF(VLOOKUP($A31,Input!$A$46:$B$58,2,FALSE)="Fixed","Fixed",(K$22)))</f>
        <v>11</v>
      </c>
      <c r="L31" s="25">
        <f t="shared" si="14"/>
        <v>0</v>
      </c>
      <c r="N31" s="173">
        <f>INDEX(Input!$C$46:$AM$58,MATCH($A31,Input!$A$46:$A$58,0),MATCH(N$13,Input!$C$45:$AM$45,0))</f>
        <v>0</v>
      </c>
      <c r="O31" s="31">
        <f>IF(VLOOKUP($A31,Input!$A$46:$B$58,2,FALSE)="Percentage",P$22,IF(VLOOKUP($A31,Input!$A$46:$B$58,2,FALSE)="Fixed","Fixed",(O$22)))</f>
        <v>11</v>
      </c>
      <c r="P31" s="25">
        <f t="shared" si="15"/>
        <v>0</v>
      </c>
      <c r="R31" s="173">
        <f>INDEX(Input!$C$46:$AM$58,MATCH($A31,Input!$A$46:$A$58,0),MATCH(R$13,Input!$C$45:$AM$45,0))</f>
        <v>0</v>
      </c>
      <c r="S31" s="31">
        <f>IF(VLOOKUP($A31,Input!$A$46:$B$58,2,FALSE)="Percentage",T$22,IF(VLOOKUP($A31,Input!$A$46:$B$58,2,FALSE)="Fixed","Fixed",(S$22)))</f>
        <v>11</v>
      </c>
      <c r="T31" s="25">
        <f t="shared" si="16"/>
        <v>0</v>
      </c>
      <c r="V31" s="173">
        <f>INDEX(Input!$C$46:$AM$58,MATCH($A31,Input!$A$46:$A$58,0),MATCH(V$13,Input!$C$45:$AM$45,0))</f>
        <v>0</v>
      </c>
      <c r="W31" s="31">
        <f>IF(VLOOKUP($A31,Input!$A$46:$B$58,2,FALSE)="Percentage",X$22,IF(VLOOKUP($A31,Input!$A$46:$B$58,2,FALSE)="Fixed","Fixed",(W$22)))</f>
        <v>11</v>
      </c>
      <c r="X31" s="25">
        <f t="shared" si="17"/>
        <v>0</v>
      </c>
      <c r="Z31" s="173">
        <f>INDEX(Input!$C$46:$AM$58,MATCH($A31,Input!$A$46:$A$58,0),MATCH(Z$13,Input!$C$45:$AM$45,0))</f>
        <v>0</v>
      </c>
      <c r="AA31" s="31">
        <f>IF(VLOOKUP($A31,Input!$A$46:$B$58,2,FALSE)="Percentage",AB$22,IF(VLOOKUP($A31,Input!$A$46:$B$58,2,FALSE)="Fixed","Fixed",(AA$22)))</f>
        <v>11</v>
      </c>
      <c r="AB31" s="25">
        <f t="shared" si="18"/>
        <v>0</v>
      </c>
      <c r="AD31" s="173">
        <f>INDEX(Input!$C$46:$AM$58,MATCH($A31,Input!$A$46:$A$58,0),MATCH(AD$13,Input!$C$45:$AM$45,0))</f>
        <v>0</v>
      </c>
      <c r="AE31" s="31">
        <f>IF(VLOOKUP($A31,Input!$A$46:$B$58,2,FALSE)="Percentage",AF$22,IF(VLOOKUP($A31,Input!$A$46:$B$58,2,FALSE)="Fixed","Fixed",(AE$22)))</f>
        <v>11</v>
      </c>
      <c r="AF31" s="25">
        <f t="shared" si="19"/>
        <v>0</v>
      </c>
      <c r="AH31" s="173">
        <f>INDEX(Input!$C$46:$AM$58,MATCH($A31,Input!$A$46:$A$58,0),MATCH(AH$13,Input!$C$45:$AM$45,0))</f>
        <v>0</v>
      </c>
      <c r="AI31" s="31">
        <f>IF(VLOOKUP($A31,Input!$A$46:$B$58,2,FALSE)="Percentage",AJ$22,IF(VLOOKUP($A31,Input!$A$46:$B$58,2,FALSE)="Fixed","Fixed",(AI$22)))</f>
        <v>11</v>
      </c>
      <c r="AJ31" s="25">
        <f t="shared" si="20"/>
        <v>0</v>
      </c>
      <c r="AL31" s="173">
        <f>INDEX(Input!$C$46:$AM$58,MATCH($A31,Input!$A$46:$A$58,0),MATCH(AL$13,Input!$C$45:$AM$45,0))</f>
        <v>0</v>
      </c>
      <c r="AM31" s="31">
        <f>IF(VLOOKUP($A31,Input!$A$46:$B$58,2,FALSE)="Percentage",AN$22,IF(VLOOKUP($A31,Input!$A$46:$B$58,2,FALSE)="Fixed","Fixed",(AM$22)))</f>
        <v>11</v>
      </c>
      <c r="AN31" s="25">
        <f t="shared" si="21"/>
        <v>0</v>
      </c>
      <c r="AP31" s="173">
        <f>INDEX(Input!$C$46:$AM$58,MATCH($A31,Input!$A$46:$A$58,0),MATCH(AP$13,Input!$C$45:$AM$45,0))</f>
        <v>0</v>
      </c>
      <c r="AQ31" s="31">
        <f>IF(VLOOKUP($A31,Input!$A$46:$B$58,2,FALSE)="Percentage",AR$22,IF(VLOOKUP($A31,Input!$A$46:$B$58,2,FALSE)="Fixed","Fixed",(AQ$22)))</f>
        <v>11</v>
      </c>
      <c r="AR31" s="25">
        <f t="shared" si="22"/>
        <v>0</v>
      </c>
      <c r="AT31" s="173">
        <f>INDEX(Input!$C$46:$AM$58,MATCH($A31,Input!$A$46:$A$58,0),MATCH(AT$13,Input!$C$45:$AM$45,0))</f>
        <v>0</v>
      </c>
      <c r="AU31" s="31">
        <f>IF(VLOOKUP($A31,Input!$A$46:$B$58,2,FALSE)="Percentage",AV$22,IF(VLOOKUP($A31,Input!$A$46:$B$58,2,FALSE)="Fixed","Fixed",(AU$22)))</f>
        <v>11</v>
      </c>
      <c r="AV31" s="25">
        <f t="shared" si="23"/>
        <v>0</v>
      </c>
    </row>
    <row r="32" spans="1:48" x14ac:dyDescent="0.55000000000000004">
      <c r="A32">
        <f>Input!A53</f>
        <v>0</v>
      </c>
      <c r="B32" s="173">
        <f>INDEX(Input!$C$46:$AM$58,MATCH($A32,Input!$A$46:$A$58,0),MATCH(B$13,Input!$C$45:$AM$45,0))</f>
        <v>0</v>
      </c>
      <c r="C32" s="31">
        <f>IF(VLOOKUP($A32,Input!$A$46:$B$58,2,FALSE)="Percentage",D$22,IF(VLOOKUP($A32,Input!$A$46:$B$58,2,FALSE)="Fixed","Fixed",(C$22)))</f>
        <v>11</v>
      </c>
      <c r="D32" s="25">
        <f t="shared" si="12"/>
        <v>0</v>
      </c>
      <c r="F32" s="173">
        <f>INDEX(Input!$C$46:$AM$58,MATCH($A32,Input!$A$46:$A$58,0),MATCH(F$13,Input!$C$45:$AM$45,0))</f>
        <v>0</v>
      </c>
      <c r="G32" s="31">
        <f>IF(VLOOKUP($A32,Input!$A$46:$B$58,2,FALSE)="Percentage",H$22,IF(VLOOKUP($A32,Input!$A$46:$B$58,2,FALSE)="Fixed","Fixed",(G$22)))</f>
        <v>11</v>
      </c>
      <c r="H32" s="25">
        <f t="shared" si="13"/>
        <v>0</v>
      </c>
      <c r="J32" s="173">
        <f>INDEX(Input!$C$46:$AM$58,MATCH($A32,Input!$A$46:$A$58,0),MATCH(J$13,Input!$C$45:$AM$45,0))</f>
        <v>0</v>
      </c>
      <c r="K32" s="31">
        <f>IF(VLOOKUP($A32,Input!$A$46:$B$58,2,FALSE)="Percentage",L$22,IF(VLOOKUP($A32,Input!$A$46:$B$58,2,FALSE)="Fixed","Fixed",(K$22)))</f>
        <v>11</v>
      </c>
      <c r="L32" s="25">
        <f t="shared" si="14"/>
        <v>0</v>
      </c>
      <c r="N32" s="173">
        <f>INDEX(Input!$C$46:$AM$58,MATCH($A32,Input!$A$46:$A$58,0),MATCH(N$13,Input!$C$45:$AM$45,0))</f>
        <v>0</v>
      </c>
      <c r="O32" s="31">
        <f>IF(VLOOKUP($A32,Input!$A$46:$B$58,2,FALSE)="Percentage",P$22,IF(VLOOKUP($A32,Input!$A$46:$B$58,2,FALSE)="Fixed","Fixed",(O$22)))</f>
        <v>11</v>
      </c>
      <c r="P32" s="25">
        <f t="shared" si="15"/>
        <v>0</v>
      </c>
      <c r="R32" s="173">
        <f>INDEX(Input!$C$46:$AM$58,MATCH($A32,Input!$A$46:$A$58,0),MATCH(R$13,Input!$C$45:$AM$45,0))</f>
        <v>0</v>
      </c>
      <c r="S32" s="31">
        <f>IF(VLOOKUP($A32,Input!$A$46:$B$58,2,FALSE)="Percentage",T$22,IF(VLOOKUP($A32,Input!$A$46:$B$58,2,FALSE)="Fixed","Fixed",(S$22)))</f>
        <v>11</v>
      </c>
      <c r="T32" s="25">
        <f t="shared" si="16"/>
        <v>0</v>
      </c>
      <c r="V32" s="173">
        <f>INDEX(Input!$C$46:$AM$58,MATCH($A32,Input!$A$46:$A$58,0),MATCH(V$13,Input!$C$45:$AM$45,0))</f>
        <v>0</v>
      </c>
      <c r="W32" s="31">
        <f>IF(VLOOKUP($A32,Input!$A$46:$B$58,2,FALSE)="Percentage",X$22,IF(VLOOKUP($A32,Input!$A$46:$B$58,2,FALSE)="Fixed","Fixed",(W$22)))</f>
        <v>11</v>
      </c>
      <c r="X32" s="25">
        <f t="shared" si="17"/>
        <v>0</v>
      </c>
      <c r="Z32" s="173">
        <f>INDEX(Input!$C$46:$AM$58,MATCH($A32,Input!$A$46:$A$58,0),MATCH(Z$13,Input!$C$45:$AM$45,0))</f>
        <v>0</v>
      </c>
      <c r="AA32" s="31">
        <f>IF(VLOOKUP($A32,Input!$A$46:$B$58,2,FALSE)="Percentage",AB$22,IF(VLOOKUP($A32,Input!$A$46:$B$58,2,FALSE)="Fixed","Fixed",(AA$22)))</f>
        <v>11</v>
      </c>
      <c r="AB32" s="25">
        <f t="shared" si="18"/>
        <v>0</v>
      </c>
      <c r="AD32" s="173">
        <f>INDEX(Input!$C$46:$AM$58,MATCH($A32,Input!$A$46:$A$58,0),MATCH(AD$13,Input!$C$45:$AM$45,0))</f>
        <v>0</v>
      </c>
      <c r="AE32" s="31">
        <f>IF(VLOOKUP($A32,Input!$A$46:$B$58,2,FALSE)="Percentage",AF$22,IF(VLOOKUP($A32,Input!$A$46:$B$58,2,FALSE)="Fixed","Fixed",(AE$22)))</f>
        <v>11</v>
      </c>
      <c r="AF32" s="25">
        <f t="shared" si="19"/>
        <v>0</v>
      </c>
      <c r="AH32" s="173">
        <f>INDEX(Input!$C$46:$AM$58,MATCH($A32,Input!$A$46:$A$58,0),MATCH(AH$13,Input!$C$45:$AM$45,0))</f>
        <v>0</v>
      </c>
      <c r="AI32" s="31">
        <f>IF(VLOOKUP($A32,Input!$A$46:$B$58,2,FALSE)="Percentage",AJ$22,IF(VLOOKUP($A32,Input!$A$46:$B$58,2,FALSE)="Fixed","Fixed",(AI$22)))</f>
        <v>11</v>
      </c>
      <c r="AJ32" s="25">
        <f t="shared" si="20"/>
        <v>0</v>
      </c>
      <c r="AL32" s="173">
        <f>INDEX(Input!$C$46:$AM$58,MATCH($A32,Input!$A$46:$A$58,0),MATCH(AL$13,Input!$C$45:$AM$45,0))</f>
        <v>0</v>
      </c>
      <c r="AM32" s="31">
        <f>IF(VLOOKUP($A32,Input!$A$46:$B$58,2,FALSE)="Percentage",AN$22,IF(VLOOKUP($A32,Input!$A$46:$B$58,2,FALSE)="Fixed","Fixed",(AM$22)))</f>
        <v>11</v>
      </c>
      <c r="AN32" s="25">
        <f t="shared" si="21"/>
        <v>0</v>
      </c>
      <c r="AP32" s="173">
        <f>INDEX(Input!$C$46:$AM$58,MATCH($A32,Input!$A$46:$A$58,0),MATCH(AP$13,Input!$C$45:$AM$45,0))</f>
        <v>0</v>
      </c>
      <c r="AQ32" s="31">
        <f>IF(VLOOKUP($A32,Input!$A$46:$B$58,2,FALSE)="Percentage",AR$22,IF(VLOOKUP($A32,Input!$A$46:$B$58,2,FALSE)="Fixed","Fixed",(AQ$22)))</f>
        <v>11</v>
      </c>
      <c r="AR32" s="25">
        <f t="shared" si="22"/>
        <v>0</v>
      </c>
      <c r="AT32" s="173">
        <f>INDEX(Input!$C$46:$AM$58,MATCH($A32,Input!$A$46:$A$58,0),MATCH(AT$13,Input!$C$45:$AM$45,0))</f>
        <v>0</v>
      </c>
      <c r="AU32" s="31">
        <f>IF(VLOOKUP($A32,Input!$A$46:$B$58,2,FALSE)="Percentage",AV$22,IF(VLOOKUP($A32,Input!$A$46:$B$58,2,FALSE)="Fixed","Fixed",(AU$22)))</f>
        <v>11</v>
      </c>
      <c r="AV32" s="25">
        <f t="shared" si="23"/>
        <v>0</v>
      </c>
    </row>
    <row r="33" spans="1:48" x14ac:dyDescent="0.55000000000000004">
      <c r="A33">
        <f>Input!A54</f>
        <v>0</v>
      </c>
      <c r="B33" s="173">
        <f>INDEX(Input!$C$46:$AM$58,MATCH($A33,Input!$A$46:$A$58,0),MATCH(B$13,Input!$C$45:$AM$45,0))</f>
        <v>0</v>
      </c>
      <c r="C33" s="31">
        <f>IF(VLOOKUP($A33,Input!$A$46:$B$58,2,FALSE)="Percentage",D$22,IF(VLOOKUP($A33,Input!$A$46:$B$58,2,FALSE)="Fixed","Fixed",(C$22)))</f>
        <v>11</v>
      </c>
      <c r="D33" s="25">
        <f t="shared" si="12"/>
        <v>0</v>
      </c>
      <c r="F33" s="173">
        <f>INDEX(Input!$C$46:$AM$58,MATCH($A33,Input!$A$46:$A$58,0),MATCH(F$13,Input!$C$45:$AM$45,0))</f>
        <v>0</v>
      </c>
      <c r="G33" s="31">
        <f>IF(VLOOKUP($A33,Input!$A$46:$B$58,2,FALSE)="Percentage",H$22,IF(VLOOKUP($A33,Input!$A$46:$B$58,2,FALSE)="Fixed","Fixed",(G$22)))</f>
        <v>11</v>
      </c>
      <c r="H33" s="25">
        <f t="shared" si="13"/>
        <v>0</v>
      </c>
      <c r="J33" s="173">
        <f>INDEX(Input!$C$46:$AM$58,MATCH($A33,Input!$A$46:$A$58,0),MATCH(J$13,Input!$C$45:$AM$45,0))</f>
        <v>0</v>
      </c>
      <c r="K33" s="31">
        <f>IF(VLOOKUP($A33,Input!$A$46:$B$58,2,FALSE)="Percentage",L$22,IF(VLOOKUP($A33,Input!$A$46:$B$58,2,FALSE)="Fixed","Fixed",(K$22)))</f>
        <v>11</v>
      </c>
      <c r="L33" s="25">
        <f t="shared" si="14"/>
        <v>0</v>
      </c>
      <c r="N33" s="173">
        <f>INDEX(Input!$C$46:$AM$58,MATCH($A33,Input!$A$46:$A$58,0),MATCH(N$13,Input!$C$45:$AM$45,0))</f>
        <v>0</v>
      </c>
      <c r="O33" s="31">
        <f>IF(VLOOKUP($A33,Input!$A$46:$B$58,2,FALSE)="Percentage",P$22,IF(VLOOKUP($A33,Input!$A$46:$B$58,2,FALSE)="Fixed","Fixed",(O$22)))</f>
        <v>11</v>
      </c>
      <c r="P33" s="25">
        <f t="shared" si="15"/>
        <v>0</v>
      </c>
      <c r="R33" s="173">
        <f>INDEX(Input!$C$46:$AM$58,MATCH($A33,Input!$A$46:$A$58,0),MATCH(R$13,Input!$C$45:$AM$45,0))</f>
        <v>0</v>
      </c>
      <c r="S33" s="31">
        <f>IF(VLOOKUP($A33,Input!$A$46:$B$58,2,FALSE)="Percentage",T$22,IF(VLOOKUP($A33,Input!$A$46:$B$58,2,FALSE)="Fixed","Fixed",(S$22)))</f>
        <v>11</v>
      </c>
      <c r="T33" s="25">
        <f t="shared" si="16"/>
        <v>0</v>
      </c>
      <c r="V33" s="173">
        <f>INDEX(Input!$C$46:$AM$58,MATCH($A33,Input!$A$46:$A$58,0),MATCH(V$13,Input!$C$45:$AM$45,0))</f>
        <v>0</v>
      </c>
      <c r="W33" s="31">
        <f>IF(VLOOKUP($A33,Input!$A$46:$B$58,2,FALSE)="Percentage",X$22,IF(VLOOKUP($A33,Input!$A$46:$B$58,2,FALSE)="Fixed","Fixed",(W$22)))</f>
        <v>11</v>
      </c>
      <c r="X33" s="25">
        <f t="shared" si="17"/>
        <v>0</v>
      </c>
      <c r="Z33" s="173">
        <f>INDEX(Input!$C$46:$AM$58,MATCH($A33,Input!$A$46:$A$58,0),MATCH(Z$13,Input!$C$45:$AM$45,0))</f>
        <v>0</v>
      </c>
      <c r="AA33" s="31">
        <f>IF(VLOOKUP($A33,Input!$A$46:$B$58,2,FALSE)="Percentage",AB$22,IF(VLOOKUP($A33,Input!$A$46:$B$58,2,FALSE)="Fixed","Fixed",(AA$22)))</f>
        <v>11</v>
      </c>
      <c r="AB33" s="25">
        <f t="shared" si="18"/>
        <v>0</v>
      </c>
      <c r="AD33" s="173">
        <f>INDEX(Input!$C$46:$AM$58,MATCH($A33,Input!$A$46:$A$58,0),MATCH(AD$13,Input!$C$45:$AM$45,0))</f>
        <v>0</v>
      </c>
      <c r="AE33" s="31">
        <f>IF(VLOOKUP($A33,Input!$A$46:$B$58,2,FALSE)="Percentage",AF$22,IF(VLOOKUP($A33,Input!$A$46:$B$58,2,FALSE)="Fixed","Fixed",(AE$22)))</f>
        <v>11</v>
      </c>
      <c r="AF33" s="25">
        <f t="shared" si="19"/>
        <v>0</v>
      </c>
      <c r="AH33" s="173">
        <f>INDEX(Input!$C$46:$AM$58,MATCH($A33,Input!$A$46:$A$58,0),MATCH(AH$13,Input!$C$45:$AM$45,0))</f>
        <v>0</v>
      </c>
      <c r="AI33" s="31">
        <f>IF(VLOOKUP($A33,Input!$A$46:$B$58,2,FALSE)="Percentage",AJ$22,IF(VLOOKUP($A33,Input!$A$46:$B$58,2,FALSE)="Fixed","Fixed",(AI$22)))</f>
        <v>11</v>
      </c>
      <c r="AJ33" s="25">
        <f t="shared" si="20"/>
        <v>0</v>
      </c>
      <c r="AL33" s="173">
        <f>INDEX(Input!$C$46:$AM$58,MATCH($A33,Input!$A$46:$A$58,0),MATCH(AL$13,Input!$C$45:$AM$45,0))</f>
        <v>0</v>
      </c>
      <c r="AM33" s="31">
        <f>IF(VLOOKUP($A33,Input!$A$46:$B$58,2,FALSE)="Percentage",AN$22,IF(VLOOKUP($A33,Input!$A$46:$B$58,2,FALSE)="Fixed","Fixed",(AM$22)))</f>
        <v>11</v>
      </c>
      <c r="AN33" s="25">
        <f t="shared" si="21"/>
        <v>0</v>
      </c>
      <c r="AP33" s="173">
        <f>INDEX(Input!$C$46:$AM$58,MATCH($A33,Input!$A$46:$A$58,0),MATCH(AP$13,Input!$C$45:$AM$45,0))</f>
        <v>0</v>
      </c>
      <c r="AQ33" s="31">
        <f>IF(VLOOKUP($A33,Input!$A$46:$B$58,2,FALSE)="Percentage",AR$22,IF(VLOOKUP($A33,Input!$A$46:$B$58,2,FALSE)="Fixed","Fixed",(AQ$22)))</f>
        <v>11</v>
      </c>
      <c r="AR33" s="25">
        <f t="shared" si="22"/>
        <v>0</v>
      </c>
      <c r="AT33" s="173">
        <f>INDEX(Input!$C$46:$AM$58,MATCH($A33,Input!$A$46:$A$58,0),MATCH(AT$13,Input!$C$45:$AM$45,0))</f>
        <v>0</v>
      </c>
      <c r="AU33" s="31">
        <f>IF(VLOOKUP($A33,Input!$A$46:$B$58,2,FALSE)="Percentage",AV$22,IF(VLOOKUP($A33,Input!$A$46:$B$58,2,FALSE)="Fixed","Fixed",(AU$22)))</f>
        <v>11</v>
      </c>
      <c r="AV33" s="25">
        <f t="shared" si="23"/>
        <v>0</v>
      </c>
    </row>
    <row r="34" spans="1:48" x14ac:dyDescent="0.55000000000000004">
      <c r="A34">
        <f>Input!A55</f>
        <v>0</v>
      </c>
      <c r="B34" s="173">
        <f>INDEX(Input!$C$46:$AM$58,MATCH($A34,Input!$A$46:$A$58,0),MATCH(B$13,Input!$C$45:$AM$45,0))</f>
        <v>0</v>
      </c>
      <c r="C34" s="31">
        <f>IF(VLOOKUP($A34,Input!$A$46:$B$58,2,FALSE)="Percentage",D$22,IF(VLOOKUP($A34,Input!$A$46:$B$58,2,FALSE)="Fixed","Fixed",(C$22)))</f>
        <v>11</v>
      </c>
      <c r="D34" s="25">
        <f t="shared" si="12"/>
        <v>0</v>
      </c>
      <c r="F34" s="173">
        <f>INDEX(Input!$C$46:$AM$58,MATCH($A34,Input!$A$46:$A$58,0),MATCH(F$13,Input!$C$45:$AM$45,0))</f>
        <v>0</v>
      </c>
      <c r="G34" s="31">
        <f>IF(VLOOKUP($A34,Input!$A$46:$B$58,2,FALSE)="Percentage",H$22,IF(VLOOKUP($A34,Input!$A$46:$B$58,2,FALSE)="Fixed","Fixed",(G$22)))</f>
        <v>11</v>
      </c>
      <c r="H34" s="25">
        <f t="shared" si="13"/>
        <v>0</v>
      </c>
      <c r="J34" s="173">
        <f>INDEX(Input!$C$46:$AM$58,MATCH($A34,Input!$A$46:$A$58,0),MATCH(J$13,Input!$C$45:$AM$45,0))</f>
        <v>0</v>
      </c>
      <c r="K34" s="31">
        <f>IF(VLOOKUP($A34,Input!$A$46:$B$58,2,FALSE)="Percentage",L$22,IF(VLOOKUP($A34,Input!$A$46:$B$58,2,FALSE)="Fixed","Fixed",(K$22)))</f>
        <v>11</v>
      </c>
      <c r="L34" s="25">
        <f t="shared" si="14"/>
        <v>0</v>
      </c>
      <c r="N34" s="173">
        <f>INDEX(Input!$C$46:$AM$58,MATCH($A34,Input!$A$46:$A$58,0),MATCH(N$13,Input!$C$45:$AM$45,0))</f>
        <v>0</v>
      </c>
      <c r="O34" s="31">
        <f>IF(VLOOKUP($A34,Input!$A$46:$B$58,2,FALSE)="Percentage",P$22,IF(VLOOKUP($A34,Input!$A$46:$B$58,2,FALSE)="Fixed","Fixed",(O$22)))</f>
        <v>11</v>
      </c>
      <c r="P34" s="25">
        <f t="shared" si="15"/>
        <v>0</v>
      </c>
      <c r="R34" s="173">
        <f>INDEX(Input!$C$46:$AM$58,MATCH($A34,Input!$A$46:$A$58,0),MATCH(R$13,Input!$C$45:$AM$45,0))</f>
        <v>0</v>
      </c>
      <c r="S34" s="31">
        <f>IF(VLOOKUP($A34,Input!$A$46:$B$58,2,FALSE)="Percentage",T$22,IF(VLOOKUP($A34,Input!$A$46:$B$58,2,FALSE)="Fixed","Fixed",(S$22)))</f>
        <v>11</v>
      </c>
      <c r="T34" s="25">
        <f t="shared" si="16"/>
        <v>0</v>
      </c>
      <c r="V34" s="173">
        <f>INDEX(Input!$C$46:$AM$58,MATCH($A34,Input!$A$46:$A$58,0),MATCH(V$13,Input!$C$45:$AM$45,0))</f>
        <v>0</v>
      </c>
      <c r="W34" s="31">
        <f>IF(VLOOKUP($A34,Input!$A$46:$B$58,2,FALSE)="Percentage",X$22,IF(VLOOKUP($A34,Input!$A$46:$B$58,2,FALSE)="Fixed","Fixed",(W$22)))</f>
        <v>11</v>
      </c>
      <c r="X34" s="25">
        <f t="shared" si="17"/>
        <v>0</v>
      </c>
      <c r="Z34" s="173">
        <f>INDEX(Input!$C$46:$AM$58,MATCH($A34,Input!$A$46:$A$58,0),MATCH(Z$13,Input!$C$45:$AM$45,0))</f>
        <v>0</v>
      </c>
      <c r="AA34" s="31">
        <f>IF(VLOOKUP($A34,Input!$A$46:$B$58,2,FALSE)="Percentage",AB$22,IF(VLOOKUP($A34,Input!$A$46:$B$58,2,FALSE)="Fixed","Fixed",(AA$22)))</f>
        <v>11</v>
      </c>
      <c r="AB34" s="25">
        <f t="shared" si="18"/>
        <v>0</v>
      </c>
      <c r="AD34" s="173">
        <f>INDEX(Input!$C$46:$AM$58,MATCH($A34,Input!$A$46:$A$58,0),MATCH(AD$13,Input!$C$45:$AM$45,0))</f>
        <v>0</v>
      </c>
      <c r="AE34" s="31">
        <f>IF(VLOOKUP($A34,Input!$A$46:$B$58,2,FALSE)="Percentage",AF$22,IF(VLOOKUP($A34,Input!$A$46:$B$58,2,FALSE)="Fixed","Fixed",(AE$22)))</f>
        <v>11</v>
      </c>
      <c r="AF34" s="25">
        <f t="shared" si="19"/>
        <v>0</v>
      </c>
      <c r="AH34" s="173">
        <f>INDEX(Input!$C$46:$AM$58,MATCH($A34,Input!$A$46:$A$58,0),MATCH(AH$13,Input!$C$45:$AM$45,0))</f>
        <v>0</v>
      </c>
      <c r="AI34" s="31">
        <f>IF(VLOOKUP($A34,Input!$A$46:$B$58,2,FALSE)="Percentage",AJ$22,IF(VLOOKUP($A34,Input!$A$46:$B$58,2,FALSE)="Fixed","Fixed",(AI$22)))</f>
        <v>11</v>
      </c>
      <c r="AJ34" s="25">
        <f t="shared" si="20"/>
        <v>0</v>
      </c>
      <c r="AL34" s="173">
        <f>INDEX(Input!$C$46:$AM$58,MATCH($A34,Input!$A$46:$A$58,0),MATCH(AL$13,Input!$C$45:$AM$45,0))</f>
        <v>0</v>
      </c>
      <c r="AM34" s="31">
        <f>IF(VLOOKUP($A34,Input!$A$46:$B$58,2,FALSE)="Percentage",AN$22,IF(VLOOKUP($A34,Input!$A$46:$B$58,2,FALSE)="Fixed","Fixed",(AM$22)))</f>
        <v>11</v>
      </c>
      <c r="AN34" s="25">
        <f t="shared" si="21"/>
        <v>0</v>
      </c>
      <c r="AP34" s="173">
        <f>INDEX(Input!$C$46:$AM$58,MATCH($A34,Input!$A$46:$A$58,0),MATCH(AP$13,Input!$C$45:$AM$45,0))</f>
        <v>0</v>
      </c>
      <c r="AQ34" s="31">
        <f>IF(VLOOKUP($A34,Input!$A$46:$B$58,2,FALSE)="Percentage",AR$22,IF(VLOOKUP($A34,Input!$A$46:$B$58,2,FALSE)="Fixed","Fixed",(AQ$22)))</f>
        <v>11</v>
      </c>
      <c r="AR34" s="25">
        <f t="shared" si="22"/>
        <v>0</v>
      </c>
      <c r="AT34" s="173">
        <f>INDEX(Input!$C$46:$AM$58,MATCH($A34,Input!$A$46:$A$58,0),MATCH(AT$13,Input!$C$45:$AM$45,0))</f>
        <v>0</v>
      </c>
      <c r="AU34" s="31">
        <f>IF(VLOOKUP($A34,Input!$A$46:$B$58,2,FALSE)="Percentage",AV$22,IF(VLOOKUP($A34,Input!$A$46:$B$58,2,FALSE)="Fixed","Fixed",(AU$22)))</f>
        <v>11</v>
      </c>
      <c r="AV34" s="25">
        <f t="shared" si="23"/>
        <v>0</v>
      </c>
    </row>
    <row r="35" spans="1:48" x14ac:dyDescent="0.55000000000000004">
      <c r="A35">
        <f>Input!A56</f>
        <v>0</v>
      </c>
      <c r="B35" s="173">
        <f>INDEX(Input!$C$46:$AM$58,MATCH($A35,Input!$A$46:$A$58,0),MATCH(B$13,Input!$C$45:$AM$45,0))</f>
        <v>0</v>
      </c>
      <c r="C35" s="31">
        <f>IF(VLOOKUP($A35,Input!$A$46:$B$58,2,FALSE)="Percentage",D$22,IF(VLOOKUP($A35,Input!$A$46:$B$58,2,FALSE)="Fixed","Fixed",(C$22)))</f>
        <v>11</v>
      </c>
      <c r="D35" s="25">
        <f t="shared" si="12"/>
        <v>0</v>
      </c>
      <c r="F35" s="173">
        <f>INDEX(Input!$C$46:$AM$58,MATCH($A35,Input!$A$46:$A$58,0),MATCH(F$13,Input!$C$45:$AM$45,0))</f>
        <v>0</v>
      </c>
      <c r="G35" s="31">
        <f>IF(VLOOKUP($A35,Input!$A$46:$B$58,2,FALSE)="Percentage",H$22,IF(VLOOKUP($A35,Input!$A$46:$B$58,2,FALSE)="Fixed","Fixed",(G$22)))</f>
        <v>11</v>
      </c>
      <c r="H35" s="25">
        <f t="shared" si="13"/>
        <v>0</v>
      </c>
      <c r="J35" s="173">
        <f>INDEX(Input!$C$46:$AM$58,MATCH($A35,Input!$A$46:$A$58,0),MATCH(J$13,Input!$C$45:$AM$45,0))</f>
        <v>0</v>
      </c>
      <c r="K35" s="31">
        <f>IF(VLOOKUP($A35,Input!$A$46:$B$58,2,FALSE)="Percentage",L$22,IF(VLOOKUP($A35,Input!$A$46:$B$58,2,FALSE)="Fixed","Fixed",(K$22)))</f>
        <v>11</v>
      </c>
      <c r="L35" s="25">
        <f t="shared" si="14"/>
        <v>0</v>
      </c>
      <c r="N35" s="173">
        <f>INDEX(Input!$C$46:$AM$58,MATCH($A35,Input!$A$46:$A$58,0),MATCH(N$13,Input!$C$45:$AM$45,0))</f>
        <v>0</v>
      </c>
      <c r="O35" s="31">
        <f>IF(VLOOKUP($A35,Input!$A$46:$B$58,2,FALSE)="Percentage",P$22,IF(VLOOKUP($A35,Input!$A$46:$B$58,2,FALSE)="Fixed","Fixed",(O$22)))</f>
        <v>11</v>
      </c>
      <c r="P35" s="25">
        <f t="shared" si="15"/>
        <v>0</v>
      </c>
      <c r="R35" s="173">
        <f>INDEX(Input!$C$46:$AM$58,MATCH($A35,Input!$A$46:$A$58,0),MATCH(R$13,Input!$C$45:$AM$45,0))</f>
        <v>0</v>
      </c>
      <c r="S35" s="31">
        <f>IF(VLOOKUP($A35,Input!$A$46:$B$58,2,FALSE)="Percentage",T$22,IF(VLOOKUP($A35,Input!$A$46:$B$58,2,FALSE)="Fixed","Fixed",(S$22)))</f>
        <v>11</v>
      </c>
      <c r="T35" s="25">
        <f t="shared" si="16"/>
        <v>0</v>
      </c>
      <c r="V35" s="173">
        <f>INDEX(Input!$C$46:$AM$58,MATCH($A35,Input!$A$46:$A$58,0),MATCH(V$13,Input!$C$45:$AM$45,0))</f>
        <v>0</v>
      </c>
      <c r="W35" s="31">
        <f>IF(VLOOKUP($A35,Input!$A$46:$B$58,2,FALSE)="Percentage",X$22,IF(VLOOKUP($A35,Input!$A$46:$B$58,2,FALSE)="Fixed","Fixed",(W$22)))</f>
        <v>11</v>
      </c>
      <c r="X35" s="25">
        <f t="shared" si="17"/>
        <v>0</v>
      </c>
      <c r="Z35" s="173">
        <f>INDEX(Input!$C$46:$AM$58,MATCH($A35,Input!$A$46:$A$58,0),MATCH(Z$13,Input!$C$45:$AM$45,0))</f>
        <v>0</v>
      </c>
      <c r="AA35" s="31">
        <f>IF(VLOOKUP($A35,Input!$A$46:$B$58,2,FALSE)="Percentage",AB$22,IF(VLOOKUP($A35,Input!$A$46:$B$58,2,FALSE)="Fixed","Fixed",(AA$22)))</f>
        <v>11</v>
      </c>
      <c r="AB35" s="25">
        <f t="shared" si="18"/>
        <v>0</v>
      </c>
      <c r="AD35" s="173">
        <f>INDEX(Input!$C$46:$AM$58,MATCH($A35,Input!$A$46:$A$58,0),MATCH(AD$13,Input!$C$45:$AM$45,0))</f>
        <v>0</v>
      </c>
      <c r="AE35" s="31">
        <f>IF(VLOOKUP($A35,Input!$A$46:$B$58,2,FALSE)="Percentage",AF$22,IF(VLOOKUP($A35,Input!$A$46:$B$58,2,FALSE)="Fixed","Fixed",(AE$22)))</f>
        <v>11</v>
      </c>
      <c r="AF35" s="25">
        <f t="shared" si="19"/>
        <v>0</v>
      </c>
      <c r="AH35" s="173">
        <f>INDEX(Input!$C$46:$AM$58,MATCH($A35,Input!$A$46:$A$58,0),MATCH(AH$13,Input!$C$45:$AM$45,0))</f>
        <v>0</v>
      </c>
      <c r="AI35" s="31">
        <f>IF(VLOOKUP($A35,Input!$A$46:$B$58,2,FALSE)="Percentage",AJ$22,IF(VLOOKUP($A35,Input!$A$46:$B$58,2,FALSE)="Fixed","Fixed",(AI$22)))</f>
        <v>11</v>
      </c>
      <c r="AJ35" s="25">
        <f t="shared" si="20"/>
        <v>0</v>
      </c>
      <c r="AL35" s="173">
        <f>INDEX(Input!$C$46:$AM$58,MATCH($A35,Input!$A$46:$A$58,0),MATCH(AL$13,Input!$C$45:$AM$45,0))</f>
        <v>0</v>
      </c>
      <c r="AM35" s="31">
        <f>IF(VLOOKUP($A35,Input!$A$46:$B$58,2,FALSE)="Percentage",AN$22,IF(VLOOKUP($A35,Input!$A$46:$B$58,2,FALSE)="Fixed","Fixed",(AM$22)))</f>
        <v>11</v>
      </c>
      <c r="AN35" s="25">
        <f t="shared" si="21"/>
        <v>0</v>
      </c>
      <c r="AP35" s="173">
        <f>INDEX(Input!$C$46:$AM$58,MATCH($A35,Input!$A$46:$A$58,0),MATCH(AP$13,Input!$C$45:$AM$45,0))</f>
        <v>0</v>
      </c>
      <c r="AQ35" s="31">
        <f>IF(VLOOKUP($A35,Input!$A$46:$B$58,2,FALSE)="Percentage",AR$22,IF(VLOOKUP($A35,Input!$A$46:$B$58,2,FALSE)="Fixed","Fixed",(AQ$22)))</f>
        <v>11</v>
      </c>
      <c r="AR35" s="25">
        <f t="shared" si="22"/>
        <v>0</v>
      </c>
      <c r="AT35" s="173">
        <f>INDEX(Input!$C$46:$AM$58,MATCH($A35,Input!$A$46:$A$58,0),MATCH(AT$13,Input!$C$45:$AM$45,0))</f>
        <v>0</v>
      </c>
      <c r="AU35" s="31">
        <f>IF(VLOOKUP($A35,Input!$A$46:$B$58,2,FALSE)="Percentage",AV$22,IF(VLOOKUP($A35,Input!$A$46:$B$58,2,FALSE)="Fixed","Fixed",(AU$22)))</f>
        <v>11</v>
      </c>
      <c r="AV35" s="25">
        <f t="shared" si="23"/>
        <v>0</v>
      </c>
    </row>
    <row r="36" spans="1:48" x14ac:dyDescent="0.55000000000000004">
      <c r="A36">
        <f>Input!A57</f>
        <v>0</v>
      </c>
      <c r="B36" s="173">
        <f>INDEX(Input!$C$46:$AM$58,MATCH($A36,Input!$A$46:$A$58,0),MATCH(B$13,Input!$C$45:$AM$45,0))</f>
        <v>0</v>
      </c>
      <c r="C36" s="31">
        <f>IF(VLOOKUP($A36,Input!$A$46:$B$58,2,FALSE)="Percentage",D$22,IF(VLOOKUP($A36,Input!$A$46:$B$58,2,FALSE)="Fixed","Fixed",(C$22)))</f>
        <v>11</v>
      </c>
      <c r="D36" s="25">
        <f t="shared" si="12"/>
        <v>0</v>
      </c>
      <c r="F36" s="173">
        <f>INDEX(Input!$C$46:$AM$58,MATCH($A36,Input!$A$46:$A$58,0),MATCH(F$13,Input!$C$45:$AM$45,0))</f>
        <v>0</v>
      </c>
      <c r="G36" s="31">
        <f>IF(VLOOKUP($A36,Input!$A$46:$B$58,2,FALSE)="Percentage",H$22,IF(VLOOKUP($A36,Input!$A$46:$B$58,2,FALSE)="Fixed","Fixed",(G$22)))</f>
        <v>11</v>
      </c>
      <c r="H36" s="25">
        <f t="shared" si="13"/>
        <v>0</v>
      </c>
      <c r="J36" s="173">
        <f>INDEX(Input!$C$46:$AM$58,MATCH($A36,Input!$A$46:$A$58,0),MATCH(J$13,Input!$C$45:$AM$45,0))</f>
        <v>0</v>
      </c>
      <c r="K36" s="31">
        <f>IF(VLOOKUP($A36,Input!$A$46:$B$58,2,FALSE)="Percentage",L$22,IF(VLOOKUP($A36,Input!$A$46:$B$58,2,FALSE)="Fixed","Fixed",(K$22)))</f>
        <v>11</v>
      </c>
      <c r="L36" s="25">
        <f t="shared" si="14"/>
        <v>0</v>
      </c>
      <c r="N36" s="173">
        <f>INDEX(Input!$C$46:$AM$58,MATCH($A36,Input!$A$46:$A$58,0),MATCH(N$13,Input!$C$45:$AM$45,0))</f>
        <v>0</v>
      </c>
      <c r="O36" s="31">
        <f>IF(VLOOKUP($A36,Input!$A$46:$B$58,2,FALSE)="Percentage",P$22,IF(VLOOKUP($A36,Input!$A$46:$B$58,2,FALSE)="Fixed","Fixed",(O$22)))</f>
        <v>11</v>
      </c>
      <c r="P36" s="25">
        <f t="shared" si="15"/>
        <v>0</v>
      </c>
      <c r="R36" s="173">
        <f>INDEX(Input!$C$46:$AM$58,MATCH($A36,Input!$A$46:$A$58,0),MATCH(R$13,Input!$C$45:$AM$45,0))</f>
        <v>0</v>
      </c>
      <c r="S36" s="31">
        <f>IF(VLOOKUP($A36,Input!$A$46:$B$58,2,FALSE)="Percentage",T$22,IF(VLOOKUP($A36,Input!$A$46:$B$58,2,FALSE)="Fixed","Fixed",(S$22)))</f>
        <v>11</v>
      </c>
      <c r="T36" s="25">
        <f t="shared" si="16"/>
        <v>0</v>
      </c>
      <c r="V36" s="173">
        <f>INDEX(Input!$C$46:$AM$58,MATCH($A36,Input!$A$46:$A$58,0),MATCH(V$13,Input!$C$45:$AM$45,0))</f>
        <v>0</v>
      </c>
      <c r="W36" s="31">
        <f>IF(VLOOKUP($A36,Input!$A$46:$B$58,2,FALSE)="Percentage",X$22,IF(VLOOKUP($A36,Input!$A$46:$B$58,2,FALSE)="Fixed","Fixed",(W$22)))</f>
        <v>11</v>
      </c>
      <c r="X36" s="25">
        <f t="shared" si="17"/>
        <v>0</v>
      </c>
      <c r="Z36" s="173">
        <f>INDEX(Input!$C$46:$AM$58,MATCH($A36,Input!$A$46:$A$58,0),MATCH(Z$13,Input!$C$45:$AM$45,0))</f>
        <v>0</v>
      </c>
      <c r="AA36" s="31">
        <f>IF(VLOOKUP($A36,Input!$A$46:$B$58,2,FALSE)="Percentage",AB$22,IF(VLOOKUP($A36,Input!$A$46:$B$58,2,FALSE)="Fixed","Fixed",(AA$22)))</f>
        <v>11</v>
      </c>
      <c r="AB36" s="25">
        <f t="shared" si="18"/>
        <v>0</v>
      </c>
      <c r="AD36" s="173">
        <f>INDEX(Input!$C$46:$AM$58,MATCH($A36,Input!$A$46:$A$58,0),MATCH(AD$13,Input!$C$45:$AM$45,0))</f>
        <v>0</v>
      </c>
      <c r="AE36" s="31">
        <f>IF(VLOOKUP($A36,Input!$A$46:$B$58,2,FALSE)="Percentage",AF$22,IF(VLOOKUP($A36,Input!$A$46:$B$58,2,FALSE)="Fixed","Fixed",(AE$22)))</f>
        <v>11</v>
      </c>
      <c r="AF36" s="25">
        <f t="shared" si="19"/>
        <v>0</v>
      </c>
      <c r="AH36" s="173">
        <f>INDEX(Input!$C$46:$AM$58,MATCH($A36,Input!$A$46:$A$58,0),MATCH(AH$13,Input!$C$45:$AM$45,0))</f>
        <v>0</v>
      </c>
      <c r="AI36" s="31">
        <f>IF(VLOOKUP($A36,Input!$A$46:$B$58,2,FALSE)="Percentage",AJ$22,IF(VLOOKUP($A36,Input!$A$46:$B$58,2,FALSE)="Fixed","Fixed",(AI$22)))</f>
        <v>11</v>
      </c>
      <c r="AJ36" s="25">
        <f t="shared" si="20"/>
        <v>0</v>
      </c>
      <c r="AL36" s="173">
        <f>INDEX(Input!$C$46:$AM$58,MATCH($A36,Input!$A$46:$A$58,0),MATCH(AL$13,Input!$C$45:$AM$45,0))</f>
        <v>0</v>
      </c>
      <c r="AM36" s="31">
        <f>IF(VLOOKUP($A36,Input!$A$46:$B$58,2,FALSE)="Percentage",AN$22,IF(VLOOKUP($A36,Input!$A$46:$B$58,2,FALSE)="Fixed","Fixed",(AM$22)))</f>
        <v>11</v>
      </c>
      <c r="AN36" s="25">
        <f t="shared" si="21"/>
        <v>0</v>
      </c>
      <c r="AP36" s="173">
        <f>INDEX(Input!$C$46:$AM$58,MATCH($A36,Input!$A$46:$A$58,0),MATCH(AP$13,Input!$C$45:$AM$45,0))</f>
        <v>0</v>
      </c>
      <c r="AQ36" s="31">
        <f>IF(VLOOKUP($A36,Input!$A$46:$B$58,2,FALSE)="Percentage",AR$22,IF(VLOOKUP($A36,Input!$A$46:$B$58,2,FALSE)="Fixed","Fixed",(AQ$22)))</f>
        <v>11</v>
      </c>
      <c r="AR36" s="25">
        <f t="shared" si="22"/>
        <v>0</v>
      </c>
      <c r="AT36" s="173">
        <f>INDEX(Input!$C$46:$AM$58,MATCH($A36,Input!$A$46:$A$58,0),MATCH(AT$13,Input!$C$45:$AM$45,0))</f>
        <v>0</v>
      </c>
      <c r="AU36" s="31">
        <f>IF(VLOOKUP($A36,Input!$A$46:$B$58,2,FALSE)="Percentage",AV$22,IF(VLOOKUP($A36,Input!$A$46:$B$58,2,FALSE)="Fixed","Fixed",(AU$22)))</f>
        <v>11</v>
      </c>
      <c r="AV36" s="25">
        <f t="shared" si="23"/>
        <v>0</v>
      </c>
    </row>
    <row r="37" spans="1:48" x14ac:dyDescent="0.55000000000000004">
      <c r="A37">
        <f>Input!A58</f>
        <v>0</v>
      </c>
      <c r="B37" s="173">
        <f>INDEX(Input!$C$46:$AM$58,MATCH($A37,Input!$A$46:$A$58,0),MATCH(B$13,Input!$C$45:$AM$45,0))</f>
        <v>0</v>
      </c>
      <c r="C37" s="31">
        <f>IF(VLOOKUP($A37,Input!$A$46:$B$58,2,FALSE)="Percentage",D$22,IF(VLOOKUP($A37,Input!$A$46:$B$58,2,FALSE)="Fixed","Fixed",(C$22)))</f>
        <v>11</v>
      </c>
      <c r="D37" s="25">
        <f t="shared" si="12"/>
        <v>0</v>
      </c>
      <c r="F37" s="173">
        <f>INDEX(Input!$C$46:$AM$58,MATCH($A37,Input!$A$46:$A$58,0),MATCH(F$13,Input!$C$45:$AM$45,0))</f>
        <v>0</v>
      </c>
      <c r="G37" s="31">
        <f>IF(VLOOKUP($A37,Input!$A$46:$B$58,2,FALSE)="Percentage",H$22,IF(VLOOKUP($A37,Input!$A$46:$B$58,2,FALSE)="Fixed","Fixed",(G$22)))</f>
        <v>11</v>
      </c>
      <c r="H37" s="25">
        <f t="shared" si="13"/>
        <v>0</v>
      </c>
      <c r="J37" s="173">
        <f>INDEX(Input!$C$46:$AM$58,MATCH($A37,Input!$A$46:$A$58,0),MATCH(J$13,Input!$C$45:$AM$45,0))</f>
        <v>0</v>
      </c>
      <c r="K37" s="31">
        <f>IF(VLOOKUP($A37,Input!$A$46:$B$58,2,FALSE)="Percentage",L$22,IF(VLOOKUP($A37,Input!$A$46:$B$58,2,FALSE)="Fixed","Fixed",(K$22)))</f>
        <v>11</v>
      </c>
      <c r="L37" s="25">
        <f t="shared" si="14"/>
        <v>0</v>
      </c>
      <c r="N37" s="173">
        <f>INDEX(Input!$C$46:$AM$58,MATCH($A37,Input!$A$46:$A$58,0),MATCH(N$13,Input!$C$45:$AM$45,0))</f>
        <v>0</v>
      </c>
      <c r="O37" s="31">
        <f>IF(VLOOKUP($A37,Input!$A$46:$B$58,2,FALSE)="Percentage",P$22,IF(VLOOKUP($A37,Input!$A$46:$B$58,2,FALSE)="Fixed","Fixed",(O$22)))</f>
        <v>11</v>
      </c>
      <c r="P37" s="25">
        <f t="shared" si="15"/>
        <v>0</v>
      </c>
      <c r="R37" s="173">
        <f>INDEX(Input!$C$46:$AM$58,MATCH($A37,Input!$A$46:$A$58,0),MATCH(R$13,Input!$C$45:$AM$45,0))</f>
        <v>0</v>
      </c>
      <c r="S37" s="31">
        <f>IF(VLOOKUP($A37,Input!$A$46:$B$58,2,FALSE)="Percentage",T$22,IF(VLOOKUP($A37,Input!$A$46:$B$58,2,FALSE)="Fixed","Fixed",(S$22)))</f>
        <v>11</v>
      </c>
      <c r="T37" s="25">
        <f t="shared" si="16"/>
        <v>0</v>
      </c>
      <c r="V37" s="173">
        <f>INDEX(Input!$C$46:$AM$58,MATCH($A37,Input!$A$46:$A$58,0),MATCH(V$13,Input!$C$45:$AM$45,0))</f>
        <v>0</v>
      </c>
      <c r="W37" s="31">
        <f>IF(VLOOKUP($A37,Input!$A$46:$B$58,2,FALSE)="Percentage",X$22,IF(VLOOKUP($A37,Input!$A$46:$B$58,2,FALSE)="Fixed","Fixed",(W$22)))</f>
        <v>11</v>
      </c>
      <c r="X37" s="25">
        <f t="shared" si="17"/>
        <v>0</v>
      </c>
      <c r="Z37" s="173">
        <f>INDEX(Input!$C$46:$AM$58,MATCH($A37,Input!$A$46:$A$58,0),MATCH(Z$13,Input!$C$45:$AM$45,0))</f>
        <v>0</v>
      </c>
      <c r="AA37" s="31">
        <f>IF(VLOOKUP($A37,Input!$A$46:$B$58,2,FALSE)="Percentage",AB$22,IF(VLOOKUP($A37,Input!$A$46:$B$58,2,FALSE)="Fixed","Fixed",(AA$22)))</f>
        <v>11</v>
      </c>
      <c r="AB37" s="25">
        <f t="shared" si="18"/>
        <v>0</v>
      </c>
      <c r="AD37" s="173">
        <f>INDEX(Input!$C$46:$AM$58,MATCH($A37,Input!$A$46:$A$58,0),MATCH(AD$13,Input!$C$45:$AM$45,0))</f>
        <v>0</v>
      </c>
      <c r="AE37" s="31">
        <f>IF(VLOOKUP($A37,Input!$A$46:$B$58,2,FALSE)="Percentage",AF$22,IF(VLOOKUP($A37,Input!$A$46:$B$58,2,FALSE)="Fixed","Fixed",(AE$22)))</f>
        <v>11</v>
      </c>
      <c r="AF37" s="25">
        <f t="shared" si="19"/>
        <v>0</v>
      </c>
      <c r="AH37" s="173">
        <f>INDEX(Input!$C$46:$AM$58,MATCH($A37,Input!$A$46:$A$58,0),MATCH(AH$13,Input!$C$45:$AM$45,0))</f>
        <v>0</v>
      </c>
      <c r="AI37" s="31">
        <f>IF(VLOOKUP($A37,Input!$A$46:$B$58,2,FALSE)="Percentage",AJ$22,IF(VLOOKUP($A37,Input!$A$46:$B$58,2,FALSE)="Fixed","Fixed",(AI$22)))</f>
        <v>11</v>
      </c>
      <c r="AJ37" s="25">
        <f t="shared" si="20"/>
        <v>0</v>
      </c>
      <c r="AL37" s="173">
        <f>INDEX(Input!$C$46:$AM$58,MATCH($A37,Input!$A$46:$A$58,0),MATCH(AL$13,Input!$C$45:$AM$45,0))</f>
        <v>0</v>
      </c>
      <c r="AM37" s="31">
        <f>IF(VLOOKUP($A37,Input!$A$46:$B$58,2,FALSE)="Percentage",AN$22,IF(VLOOKUP($A37,Input!$A$46:$B$58,2,FALSE)="Fixed","Fixed",(AM$22)))</f>
        <v>11</v>
      </c>
      <c r="AN37" s="25">
        <f t="shared" si="21"/>
        <v>0</v>
      </c>
      <c r="AP37" s="173">
        <f>INDEX(Input!$C$46:$AM$58,MATCH($A37,Input!$A$46:$A$58,0),MATCH(AP$13,Input!$C$45:$AM$45,0))</f>
        <v>0</v>
      </c>
      <c r="AQ37" s="31">
        <f>IF(VLOOKUP($A37,Input!$A$46:$B$58,2,FALSE)="Percentage",AR$22,IF(VLOOKUP($A37,Input!$A$46:$B$58,2,FALSE)="Fixed","Fixed",(AQ$22)))</f>
        <v>11</v>
      </c>
      <c r="AR37" s="25">
        <f t="shared" si="22"/>
        <v>0</v>
      </c>
      <c r="AT37" s="173">
        <f>INDEX(Input!$C$46:$AM$58,MATCH($A37,Input!$A$46:$A$58,0),MATCH(AT$13,Input!$C$45:$AM$45,0))</f>
        <v>0</v>
      </c>
      <c r="AU37" s="31">
        <f>IF(VLOOKUP($A37,Input!$A$46:$B$58,2,FALSE)="Percentage",AV$22,IF(VLOOKUP($A37,Input!$A$46:$B$58,2,FALSE)="Fixed","Fixed",(AU$22)))</f>
        <v>11</v>
      </c>
      <c r="AV37" s="25">
        <f t="shared" si="23"/>
        <v>0</v>
      </c>
    </row>
    <row r="38" spans="1:48" x14ac:dyDescent="0.55000000000000004">
      <c r="A38" t="s">
        <v>39</v>
      </c>
      <c r="B38" s="16"/>
      <c r="C38" s="17"/>
      <c r="D38" s="26">
        <f>SUM(D25:D37)</f>
        <v>1.61</v>
      </c>
      <c r="F38" s="16"/>
      <c r="G38" s="17"/>
      <c r="H38" s="26">
        <f>SUM(H25:H37)</f>
        <v>1.61</v>
      </c>
      <c r="J38" s="16"/>
      <c r="K38" s="17"/>
      <c r="L38" s="26">
        <f>SUM(L25:L37)</f>
        <v>1.61</v>
      </c>
      <c r="N38" s="16"/>
      <c r="O38" s="17"/>
      <c r="P38" s="26">
        <f>SUM(P25:P37)</f>
        <v>1.61</v>
      </c>
      <c r="R38" s="16"/>
      <c r="S38" s="17"/>
      <c r="T38" s="26">
        <f>SUM(T25:T37)</f>
        <v>1.61</v>
      </c>
      <c r="V38" s="16"/>
      <c r="W38" s="17"/>
      <c r="X38" s="26">
        <f>SUM(X25:X37)</f>
        <v>1.61</v>
      </c>
      <c r="Z38" s="16"/>
      <c r="AA38" s="17"/>
      <c r="AB38" s="26">
        <f>SUM(AB25:AB37)</f>
        <v>1.61</v>
      </c>
      <c r="AD38" s="16"/>
      <c r="AE38" s="17"/>
      <c r="AF38" s="26">
        <f>SUM(AF25:AF37)</f>
        <v>1.61</v>
      </c>
      <c r="AH38" s="16"/>
      <c r="AI38" s="17"/>
      <c r="AJ38" s="26">
        <f>SUM(AJ25:AJ37)</f>
        <v>1.61</v>
      </c>
      <c r="AL38" s="16"/>
      <c r="AM38" s="17"/>
      <c r="AN38" s="26">
        <f>SUM(AN25:AN37)</f>
        <v>1.61</v>
      </c>
      <c r="AP38" s="16"/>
      <c r="AQ38" s="17"/>
      <c r="AR38" s="26">
        <f>SUM(AR25:AR37)</f>
        <v>-4.04</v>
      </c>
      <c r="AS38" s="64"/>
      <c r="AT38" s="16"/>
      <c r="AU38" s="17"/>
      <c r="AV38" s="26">
        <f>SUM(AV25:AV37)</f>
        <v>1.61</v>
      </c>
    </row>
    <row r="39" spans="1:48" x14ac:dyDescent="0.55000000000000004">
      <c r="B39" s="16"/>
      <c r="C39" s="17"/>
      <c r="D39" s="19"/>
      <c r="F39" s="16"/>
      <c r="G39" s="17"/>
      <c r="H39" s="19"/>
      <c r="J39" s="16"/>
      <c r="K39" s="17"/>
      <c r="L39" s="19"/>
      <c r="N39" s="16"/>
      <c r="O39" s="17"/>
      <c r="P39" s="19"/>
      <c r="R39" s="16"/>
      <c r="S39" s="17"/>
      <c r="T39" s="19"/>
      <c r="V39" s="16"/>
      <c r="W39" s="17"/>
      <c r="X39" s="19"/>
      <c r="Z39" s="16"/>
      <c r="AA39" s="17"/>
      <c r="AB39" s="19"/>
      <c r="AD39" s="16"/>
      <c r="AE39" s="17"/>
      <c r="AF39" s="19"/>
      <c r="AH39" s="16"/>
      <c r="AI39" s="17"/>
      <c r="AJ39" s="19"/>
      <c r="AL39" s="16"/>
      <c r="AM39" s="17"/>
      <c r="AN39" s="19"/>
      <c r="AP39" s="16"/>
      <c r="AQ39" s="17"/>
      <c r="AR39" s="19"/>
      <c r="AS39" s="17"/>
      <c r="AT39" s="16"/>
      <c r="AU39" s="17"/>
      <c r="AV39" s="19"/>
    </row>
    <row r="40" spans="1:48" x14ac:dyDescent="0.55000000000000004">
      <c r="A40" s="1" t="s">
        <v>35</v>
      </c>
      <c r="B40" s="20" t="s">
        <v>29</v>
      </c>
      <c r="C40" s="21" t="s">
        <v>45</v>
      </c>
      <c r="D40" s="22" t="s">
        <v>30</v>
      </c>
      <c r="F40" s="20" t="s">
        <v>29</v>
      </c>
      <c r="G40" s="21" t="s">
        <v>45</v>
      </c>
      <c r="H40" s="22" t="s">
        <v>30</v>
      </c>
      <c r="J40" s="20" t="s">
        <v>29</v>
      </c>
      <c r="K40" s="21" t="s">
        <v>45</v>
      </c>
      <c r="L40" s="22" t="s">
        <v>30</v>
      </c>
      <c r="N40" s="20" t="s">
        <v>29</v>
      </c>
      <c r="O40" s="21" t="s">
        <v>45</v>
      </c>
      <c r="P40" s="22" t="s">
        <v>30</v>
      </c>
      <c r="R40" s="20" t="s">
        <v>29</v>
      </c>
      <c r="S40" s="21" t="s">
        <v>45</v>
      </c>
      <c r="T40" s="22" t="s">
        <v>30</v>
      </c>
      <c r="V40" s="20" t="s">
        <v>29</v>
      </c>
      <c r="W40" s="21" t="s">
        <v>45</v>
      </c>
      <c r="X40" s="22" t="s">
        <v>30</v>
      </c>
      <c r="Z40" s="20" t="s">
        <v>29</v>
      </c>
      <c r="AA40" s="21" t="s">
        <v>45</v>
      </c>
      <c r="AB40" s="22" t="s">
        <v>30</v>
      </c>
      <c r="AD40" s="20" t="s">
        <v>29</v>
      </c>
      <c r="AE40" s="21" t="s">
        <v>45</v>
      </c>
      <c r="AF40" s="22" t="s">
        <v>30</v>
      </c>
      <c r="AH40" s="20" t="s">
        <v>29</v>
      </c>
      <c r="AI40" s="21" t="s">
        <v>45</v>
      </c>
      <c r="AJ40" s="22" t="s">
        <v>30</v>
      </c>
      <c r="AL40" s="20" t="s">
        <v>29</v>
      </c>
      <c r="AM40" s="21" t="s">
        <v>45</v>
      </c>
      <c r="AN40" s="22" t="s">
        <v>30</v>
      </c>
      <c r="AP40" s="20" t="s">
        <v>29</v>
      </c>
      <c r="AQ40" s="21" t="s">
        <v>45</v>
      </c>
      <c r="AR40" s="22" t="s">
        <v>30</v>
      </c>
      <c r="AS40" s="170"/>
      <c r="AT40" s="20" t="s">
        <v>29</v>
      </c>
      <c r="AU40" s="21" t="s">
        <v>45</v>
      </c>
      <c r="AV40" s="22" t="s">
        <v>30</v>
      </c>
    </row>
    <row r="41" spans="1:48" x14ac:dyDescent="0.55000000000000004">
      <c r="A41" t="str">
        <f>+Input!A77</f>
        <v>CPUC Fee</v>
      </c>
      <c r="B41" s="29">
        <f>INDEX(Input!$C$77:$AL$82,MATCH('Residential Bills_Yr 1_avg'!$A$41,Input!$A$77:$A$82,0),MATCH('Residential Bills_Yr 1_avg'!B13:D13,Input!$C$76:$AL$76,0))</f>
        <v>1.43E-2</v>
      </c>
      <c r="C41" s="30">
        <f>D22+D38</f>
        <v>98.13</v>
      </c>
      <c r="D41" s="25">
        <f>ROUND(B41*C41,2)</f>
        <v>1.4</v>
      </c>
      <c r="F41" s="29">
        <f>INDEX(Input!$C$77:$AL$82,MATCH('Residential Bills_Yr 1_avg'!$A$41,Input!$A$77:$A$82,0),MATCH('Residential Bills_Yr 1_avg'!F13:H13,Input!$C$76:$AL$76,0))</f>
        <v>1.43E-2</v>
      </c>
      <c r="G41" s="30">
        <f>H22+H38</f>
        <v>98.13</v>
      </c>
      <c r="H41" s="25">
        <f>ROUND(F41*G41,2)</f>
        <v>1.4</v>
      </c>
      <c r="J41" s="29">
        <f>INDEX(Input!$C$77:$AL$82,MATCH('Residential Bills_Yr 1_avg'!$A$41,Input!$A$77:$A$82,0),MATCH('Residential Bills_Yr 1_avg'!J13:L13,Input!$C$76:$AL$76,0))</f>
        <v>1.43E-2</v>
      </c>
      <c r="K41" s="30">
        <f>L22+L38</f>
        <v>98.13</v>
      </c>
      <c r="L41" s="25">
        <f>ROUND(J41*K41,2)</f>
        <v>1.4</v>
      </c>
      <c r="N41" s="29">
        <f>INDEX(Input!$C$77:$AL$82,MATCH('Residential Bills_Yr 1_avg'!$A$41,Input!$A$77:$A$82,0),MATCH('Residential Bills_Yr 1_avg'!N13:P13,Input!$C$76:$AL$76,0))</f>
        <v>1.43E-2</v>
      </c>
      <c r="O41" s="30">
        <f>P22+P38</f>
        <v>98.13</v>
      </c>
      <c r="P41" s="25">
        <f>ROUND(N41*O41,2)</f>
        <v>1.4</v>
      </c>
      <c r="R41" s="29">
        <f>INDEX(Input!$C$77:$AL$82,MATCH('Residential Bills_Yr 1_avg'!$A$41,Input!$A$77:$A$82,0),MATCH('Residential Bills_Yr 1_avg'!R13:T13,Input!$C$76:$AL$76,0))</f>
        <v>1.43E-2</v>
      </c>
      <c r="S41" s="30">
        <f>T22+T38</f>
        <v>98.13</v>
      </c>
      <c r="T41" s="25">
        <f>ROUND(R41*S41,2)</f>
        <v>1.4</v>
      </c>
      <c r="V41" s="29">
        <f>INDEX(Input!$C$77:$AL$82,MATCH('Residential Bills_Yr 1_avg'!$A$41,Input!$A$77:$A$82,0),MATCH('Residential Bills_Yr 1_avg'!V13:X13,Input!$C$76:$AL$76,0))</f>
        <v>1.43E-2</v>
      </c>
      <c r="W41" s="30">
        <f>X22+X38</f>
        <v>98.13</v>
      </c>
      <c r="X41" s="25">
        <f>ROUND(V41*W41,2)</f>
        <v>1.4</v>
      </c>
      <c r="Z41" s="29">
        <f>INDEX(Input!$C$77:$AL$82,MATCH('Residential Bills_Yr 1_avg'!$A$41,Input!$A$77:$A$82,0),MATCH('Residential Bills_Yr 1_avg'!Z13:AB13,Input!$C$76:$AL$76,0))</f>
        <v>1.43E-2</v>
      </c>
      <c r="AA41" s="30">
        <f>AB22+AB38</f>
        <v>103.84</v>
      </c>
      <c r="AB41" s="25">
        <f>ROUND(Z41*AA41,2)</f>
        <v>1.48</v>
      </c>
      <c r="AD41" s="29">
        <f>INDEX(Input!$C$77:$AL$82,MATCH('Residential Bills_Yr 1_avg'!$A$41,Input!$A$77:$A$82,0),MATCH('Residential Bills_Yr 1_avg'!AD13:AF13,Input!$C$76:$AL$76,0))</f>
        <v>1.43E-2</v>
      </c>
      <c r="AE41" s="30">
        <f>AF22+AF38</f>
        <v>103.84</v>
      </c>
      <c r="AF41" s="25">
        <f>ROUND(AD41*AE41,2)</f>
        <v>1.48</v>
      </c>
      <c r="AH41" s="29">
        <f>INDEX(Input!$C$77:$AL$82,MATCH('Residential Bills_Yr 1_avg'!$A$41,Input!$A$77:$A$82,0),MATCH('Residential Bills_Yr 1_avg'!AH13:AJ13,Input!$C$76:$AL$76,0))</f>
        <v>1.43E-2</v>
      </c>
      <c r="AI41" s="30">
        <f>AJ22+AJ38</f>
        <v>103.84</v>
      </c>
      <c r="AJ41" s="25">
        <f>ROUND(AH41*AI41,2)</f>
        <v>1.48</v>
      </c>
      <c r="AL41" s="29">
        <f>INDEX(Input!$C$77:$AL$82,MATCH('Residential Bills_Yr 1_avg'!$A$41,Input!$A$77:$A$82,0),MATCH('Residential Bills_Yr 1_avg'!AL13:AN13,Input!$C$76:$AL$76,0))</f>
        <v>1.43E-2</v>
      </c>
      <c r="AM41" s="30">
        <f>AN22+AN38</f>
        <v>103.84</v>
      </c>
      <c r="AN41" s="25">
        <f>ROUND(AL41*AM41,2)</f>
        <v>1.48</v>
      </c>
      <c r="AP41" s="29">
        <f>INDEX(Input!$C$77:$AL$82,MATCH('Residential Bills_Yr 1_avg'!$A$41,Input!$A$77:$A$82,0),MATCH('Residential Bills_Yr 1_avg'!AP13:AR13,Input!$C$76:$AL$76,0))</f>
        <v>1.43E-2</v>
      </c>
      <c r="AQ41" s="30">
        <f>AR22+AR38</f>
        <v>99.429999999999993</v>
      </c>
      <c r="AR41" s="25">
        <f>ROUND(AP41*AQ41,2)</f>
        <v>1.42</v>
      </c>
      <c r="AS41" s="30"/>
      <c r="AT41" s="29">
        <f>INDEX(Input!$C$77:$AL$82,MATCH('Residential Bills_Yr 1_avg'!$A$41,Input!$A$77:$A$82,0),MATCH('Residential Bills_Yr 1_avg'!AT13:AV13,Input!$C$76:$AL$76,0))</f>
        <v>1.43E-2</v>
      </c>
      <c r="AU41" s="30">
        <f>AV22+AV38</f>
        <v>105.08</v>
      </c>
      <c r="AV41" s="25">
        <f>ROUND(AT41*AU41,2)</f>
        <v>1.5</v>
      </c>
    </row>
    <row r="42" spans="1:48" ht="14.5" customHeight="1" x14ac:dyDescent="0.55000000000000004">
      <c r="A42" t="str">
        <f>+Input!A78</f>
        <v>CSJ UTT</v>
      </c>
      <c r="B42" s="29">
        <f>INDEX(Input!$C$77:$AL$82,MATCH('Residential Bills_Yr 1_avg'!$A$42,Input!$A$77:$A$82,0),MATCH('Residential Bills_Yr 1_avg'!B13,Input!$C$76:$AL$76,0))</f>
        <v>0.05</v>
      </c>
      <c r="C42" s="30">
        <f>D22+D38+D41</f>
        <v>99.53</v>
      </c>
      <c r="D42" s="25">
        <f>ROUND(B42*C42,2)</f>
        <v>4.9800000000000004</v>
      </c>
      <c r="F42" s="29">
        <f>INDEX(Input!$C$77:$AL$82,MATCH('Residential Bills_Yr 1_avg'!$A$42,Input!$A$77:$A$82,0),MATCH('Residential Bills_Yr 1_avg'!F13,Input!$C$76:$AL$76,0))</f>
        <v>0.05</v>
      </c>
      <c r="G42" s="30">
        <f>H22+H38+H41</f>
        <v>99.53</v>
      </c>
      <c r="H42" s="25">
        <f>ROUND(F42*G42,2)</f>
        <v>4.9800000000000004</v>
      </c>
      <c r="J42" s="29">
        <f>INDEX(Input!$C$77:$AL$82,MATCH('Residential Bills_Yr 1_avg'!$A$42,Input!$A$77:$A$82,0),MATCH('Residential Bills_Yr 1_avg'!J13,Input!$C$76:$AL$76,0))</f>
        <v>0.05</v>
      </c>
      <c r="K42" s="30">
        <f>L22+L38+L41</f>
        <v>99.53</v>
      </c>
      <c r="L42" s="25">
        <f>ROUND(J42*K42,2)</f>
        <v>4.9800000000000004</v>
      </c>
      <c r="N42" s="29">
        <f>INDEX(Input!$C$77:$AL$82,MATCH('Residential Bills_Yr 1_avg'!$A$42,Input!$A$77:$A$82,0),MATCH('Residential Bills_Yr 1_avg'!N13,Input!$C$76:$AL$76,0))</f>
        <v>0.05</v>
      </c>
      <c r="O42" s="30">
        <f>P22+P38+P41</f>
        <v>99.53</v>
      </c>
      <c r="P42" s="25">
        <f>ROUND(N42*O42,2)</f>
        <v>4.9800000000000004</v>
      </c>
      <c r="R42" s="29">
        <f>INDEX(Input!$C$77:$AL$82,MATCH('Residential Bills_Yr 1_avg'!$A$42,Input!$A$77:$A$82,0),MATCH('Residential Bills_Yr 1_avg'!R13,Input!$C$76:$AL$76,0))</f>
        <v>0.05</v>
      </c>
      <c r="S42" s="30">
        <f>T22+T38+T41</f>
        <v>99.53</v>
      </c>
      <c r="T42" s="25">
        <f>ROUND(R42*S42,2)</f>
        <v>4.9800000000000004</v>
      </c>
      <c r="V42" s="29">
        <f>INDEX(Input!$C$77:$AL$82,MATCH('Residential Bills_Yr 1_avg'!$A$42,Input!$A$77:$A$82,0),MATCH('Residential Bills_Yr 1_avg'!V13,Input!$C$76:$AL$76,0))</f>
        <v>0.05</v>
      </c>
      <c r="W42" s="30">
        <f>X22+X38+X41</f>
        <v>99.53</v>
      </c>
      <c r="X42" s="25">
        <f>ROUND(V42*W42,2)</f>
        <v>4.9800000000000004</v>
      </c>
      <c r="Z42" s="29">
        <f>INDEX(Input!$C$77:$AL$82,MATCH('Residential Bills_Yr 1_avg'!$A$42,Input!$A$77:$A$82,0),MATCH('Residential Bills_Yr 1_avg'!Z13,Input!$C$76:$AL$76,0))</f>
        <v>0.05</v>
      </c>
      <c r="AA42" s="30">
        <f>AB22+AB38+AB41</f>
        <v>105.32000000000001</v>
      </c>
      <c r="AB42" s="25">
        <f>ROUND(Z42*AA42,2)</f>
        <v>5.27</v>
      </c>
      <c r="AD42" s="29">
        <f>INDEX(Input!$C$77:$AL$82,MATCH('Residential Bills_Yr 1_avg'!$A$42,Input!$A$77:$A$82,0),MATCH('Residential Bills_Yr 1_avg'!AD13,Input!$C$76:$AL$76,0))</f>
        <v>0.05</v>
      </c>
      <c r="AE42" s="30">
        <f>AF22+AF38+AF41</f>
        <v>105.32000000000001</v>
      </c>
      <c r="AF42" s="25">
        <f>ROUND(AD42*AE42,2)</f>
        <v>5.27</v>
      </c>
      <c r="AH42" s="29">
        <f>INDEX(Input!$C$77:$AL$82,MATCH('Residential Bills_Yr 1_avg'!$A$42,Input!$A$77:$A$82,0),MATCH('Residential Bills_Yr 1_avg'!AH13,Input!$C$76:$AL$76,0))</f>
        <v>0.05</v>
      </c>
      <c r="AI42" s="30">
        <f>AJ22+AJ38+AJ41</f>
        <v>105.32000000000001</v>
      </c>
      <c r="AJ42" s="25">
        <f>ROUND(AH42*AI42,2)</f>
        <v>5.27</v>
      </c>
      <c r="AL42" s="29">
        <f>INDEX(Input!$C$77:$AL$82,MATCH('Residential Bills_Yr 1_avg'!$A$42,Input!$A$77:$A$82,0),MATCH('Residential Bills_Yr 1_avg'!AL13,Input!$C$76:$AL$76,0))</f>
        <v>0.05</v>
      </c>
      <c r="AM42" s="30">
        <f>AN22+AN38+AN41</f>
        <v>105.32000000000001</v>
      </c>
      <c r="AN42" s="25">
        <f>ROUND(AL42*AM42,2)</f>
        <v>5.27</v>
      </c>
      <c r="AP42" s="29">
        <f>INDEX(Input!$C$77:$AL$82,MATCH('Residential Bills_Yr 1_avg'!$A$42,Input!$A$77:$A$82,0),MATCH('Residential Bills_Yr 1_avg'!AP13,Input!$C$76:$AL$76,0))</f>
        <v>0.05</v>
      </c>
      <c r="AQ42" s="30">
        <f>AR22+AR38+AR41</f>
        <v>100.85</v>
      </c>
      <c r="AR42" s="25">
        <f>ROUND(AP42*AQ42,2)</f>
        <v>5.04</v>
      </c>
      <c r="AS42" s="17"/>
      <c r="AT42" s="29">
        <f>INDEX(Input!$C$77:$AL$82,MATCH('Residential Bills_Yr 1_avg'!$A$42,Input!$A$77:$A$82,0),MATCH('Residential Bills_Yr 1_avg'!AT13,Input!$C$76:$AL$76,0))</f>
        <v>0.05</v>
      </c>
      <c r="AU42" s="30">
        <f>AV22+AV38+AV41</f>
        <v>106.58</v>
      </c>
      <c r="AV42" s="25">
        <f>ROUND(AT42*AU42,2)</f>
        <v>5.33</v>
      </c>
    </row>
    <row r="43" spans="1:48" ht="14.5" customHeight="1" x14ac:dyDescent="0.55000000000000004">
      <c r="A43" t="str">
        <f>+Input!A79</f>
        <v>Reserved</v>
      </c>
      <c r="B43" s="29"/>
      <c r="C43" s="17"/>
      <c r="D43" s="19"/>
      <c r="F43" s="16"/>
      <c r="G43" s="17"/>
      <c r="H43" s="19"/>
      <c r="J43" s="16"/>
      <c r="K43" s="17"/>
      <c r="L43" s="19"/>
      <c r="N43" s="16"/>
      <c r="O43" s="17"/>
      <c r="P43" s="19"/>
      <c r="R43" s="16"/>
      <c r="S43" s="17"/>
      <c r="T43" s="19"/>
      <c r="V43" s="16"/>
      <c r="W43" s="17"/>
      <c r="X43" s="19"/>
      <c r="Z43" s="16"/>
      <c r="AA43" s="17"/>
      <c r="AB43" s="19"/>
      <c r="AD43" s="16"/>
      <c r="AE43" s="17"/>
      <c r="AF43" s="19"/>
      <c r="AH43" s="16"/>
      <c r="AI43" s="17"/>
      <c r="AJ43" s="19"/>
      <c r="AL43" s="16"/>
      <c r="AM43" s="17"/>
      <c r="AN43" s="19"/>
      <c r="AP43" s="16"/>
      <c r="AQ43" s="17"/>
      <c r="AR43" s="19"/>
      <c r="AS43" s="17"/>
      <c r="AT43" s="16"/>
      <c r="AU43" s="17"/>
      <c r="AV43" s="19"/>
    </row>
    <row r="44" spans="1:48" ht="14.5" customHeight="1" x14ac:dyDescent="0.55000000000000004">
      <c r="A44" t="str">
        <f>+Input!A80</f>
        <v>Reserved</v>
      </c>
      <c r="B44" s="29"/>
      <c r="C44" s="17"/>
      <c r="D44" s="19"/>
      <c r="F44" s="16"/>
      <c r="G44" s="17"/>
      <c r="H44" s="19"/>
      <c r="J44" s="16"/>
      <c r="K44" s="17"/>
      <c r="L44" s="19"/>
      <c r="N44" s="16"/>
      <c r="O44" s="17"/>
      <c r="P44" s="19"/>
      <c r="R44" s="16"/>
      <c r="S44" s="17"/>
      <c r="T44" s="19"/>
      <c r="V44" s="16"/>
      <c r="W44" s="17"/>
      <c r="X44" s="19"/>
      <c r="Z44" s="16"/>
      <c r="AA44" s="17"/>
      <c r="AB44" s="19"/>
      <c r="AD44" s="16"/>
      <c r="AE44" s="17"/>
      <c r="AF44" s="19"/>
      <c r="AH44" s="16"/>
      <c r="AI44" s="17"/>
      <c r="AJ44" s="19"/>
      <c r="AL44" s="16"/>
      <c r="AM44" s="17"/>
      <c r="AN44" s="19"/>
      <c r="AP44" s="16"/>
      <c r="AQ44" s="17"/>
      <c r="AR44" s="19"/>
      <c r="AS44" s="17"/>
      <c r="AT44" s="16"/>
      <c r="AU44" s="17"/>
      <c r="AV44" s="19"/>
    </row>
    <row r="45" spans="1:48" ht="14.5" customHeight="1" x14ac:dyDescent="0.55000000000000004">
      <c r="A45" t="str">
        <f>+Input!A81</f>
        <v>Reserved</v>
      </c>
      <c r="B45" s="29"/>
      <c r="C45" s="17"/>
      <c r="D45" s="19"/>
      <c r="F45" s="16"/>
      <c r="G45" s="17"/>
      <c r="H45" s="19"/>
      <c r="J45" s="16"/>
      <c r="K45" s="17"/>
      <c r="L45" s="19"/>
      <c r="N45" s="16"/>
      <c r="O45" s="17"/>
      <c r="P45" s="19"/>
      <c r="R45" s="16"/>
      <c r="S45" s="17"/>
      <c r="T45" s="19"/>
      <c r="V45" s="16"/>
      <c r="W45" s="17"/>
      <c r="X45" s="19"/>
      <c r="Z45" s="16"/>
      <c r="AA45" s="17"/>
      <c r="AB45" s="19"/>
      <c r="AD45" s="16"/>
      <c r="AE45" s="17"/>
      <c r="AF45" s="19"/>
      <c r="AH45" s="16"/>
      <c r="AI45" s="17"/>
      <c r="AJ45" s="19"/>
      <c r="AL45" s="16"/>
      <c r="AM45" s="17"/>
      <c r="AN45" s="19"/>
      <c r="AP45" s="16"/>
      <c r="AQ45" s="17"/>
      <c r="AR45" s="19"/>
      <c r="AS45" s="17"/>
      <c r="AT45" s="16"/>
      <c r="AU45" s="17"/>
      <c r="AV45" s="19"/>
    </row>
    <row r="46" spans="1:48" ht="18.75" customHeight="1" x14ac:dyDescent="0.55000000000000004">
      <c r="A46" t="str">
        <f>+Input!A82</f>
        <v>Reserved</v>
      </c>
      <c r="B46" s="29"/>
      <c r="C46" s="17"/>
      <c r="D46" s="19"/>
      <c r="F46" s="16"/>
      <c r="G46" s="17"/>
      <c r="H46" s="19"/>
      <c r="J46" s="16"/>
      <c r="K46" s="17"/>
      <c r="L46" s="19"/>
      <c r="N46" s="16"/>
      <c r="O46" s="17"/>
      <c r="P46" s="19"/>
      <c r="R46" s="16"/>
      <c r="S46" s="17"/>
      <c r="T46" s="19"/>
      <c r="V46" s="16"/>
      <c r="W46" s="17"/>
      <c r="X46" s="19"/>
      <c r="Z46" s="16"/>
      <c r="AA46" s="17"/>
      <c r="AB46" s="19"/>
      <c r="AD46" s="16"/>
      <c r="AE46" s="17"/>
      <c r="AF46" s="19"/>
      <c r="AH46" s="16"/>
      <c r="AI46" s="17"/>
      <c r="AJ46" s="19"/>
      <c r="AL46" s="16"/>
      <c r="AM46" s="17"/>
      <c r="AN46" s="19"/>
      <c r="AP46" s="16"/>
      <c r="AQ46" s="17"/>
      <c r="AR46" s="19"/>
      <c r="AS46" s="17"/>
      <c r="AT46" s="16"/>
      <c r="AU46" s="17"/>
      <c r="AV46" s="19"/>
    </row>
    <row r="47" spans="1:48" x14ac:dyDescent="0.55000000000000004">
      <c r="A47" t="s">
        <v>39</v>
      </c>
      <c r="B47" s="16"/>
      <c r="C47" s="17"/>
      <c r="D47" s="25"/>
      <c r="F47" s="16"/>
      <c r="G47" s="17"/>
      <c r="H47" s="19"/>
      <c r="J47" s="16"/>
      <c r="K47" s="17"/>
      <c r="L47" s="19"/>
      <c r="N47" s="16"/>
      <c r="O47" s="17"/>
      <c r="P47" s="19"/>
      <c r="R47" s="16"/>
      <c r="S47" s="17"/>
      <c r="T47" s="19"/>
      <c r="V47" s="16"/>
      <c r="W47" s="17"/>
      <c r="X47" s="19"/>
      <c r="Z47" s="16"/>
      <c r="AA47" s="17"/>
      <c r="AB47" s="19"/>
      <c r="AD47" s="16"/>
      <c r="AE47" s="17"/>
      <c r="AF47" s="19"/>
      <c r="AH47" s="16"/>
      <c r="AI47" s="17"/>
      <c r="AJ47" s="19"/>
      <c r="AL47" s="16"/>
      <c r="AM47" s="17"/>
      <c r="AN47" s="19"/>
      <c r="AP47" s="16"/>
      <c r="AQ47" s="17"/>
      <c r="AR47" s="19"/>
      <c r="AS47" s="17"/>
      <c r="AT47" s="16"/>
      <c r="AU47" s="17"/>
      <c r="AV47" s="19"/>
    </row>
    <row r="48" spans="1:48" x14ac:dyDescent="0.55000000000000004">
      <c r="B48" s="16"/>
      <c r="C48" s="17"/>
      <c r="D48" s="19"/>
      <c r="F48" s="16"/>
      <c r="G48" s="17"/>
      <c r="H48" s="19"/>
      <c r="J48" s="16"/>
      <c r="K48" s="17"/>
      <c r="L48" s="19"/>
      <c r="N48" s="16"/>
      <c r="O48" s="17"/>
      <c r="P48" s="19"/>
      <c r="R48" s="16"/>
      <c r="S48" s="17"/>
      <c r="T48" s="19"/>
      <c r="V48" s="16"/>
      <c r="W48" s="17"/>
      <c r="X48" s="19"/>
      <c r="Z48" s="16"/>
      <c r="AA48" s="17"/>
      <c r="AB48" s="19"/>
      <c r="AD48" s="16"/>
      <c r="AE48" s="17"/>
      <c r="AF48" s="19"/>
      <c r="AH48" s="16"/>
      <c r="AI48" s="17"/>
      <c r="AJ48" s="19"/>
      <c r="AL48" s="16"/>
      <c r="AM48" s="17"/>
      <c r="AN48" s="19"/>
      <c r="AP48" s="16"/>
      <c r="AQ48" s="17"/>
      <c r="AR48" s="19"/>
      <c r="AS48" s="17"/>
      <c r="AT48" s="16"/>
      <c r="AU48" s="17"/>
      <c r="AV48" s="19"/>
    </row>
    <row r="49" spans="1:48" ht="14.7" thickBot="1" x14ac:dyDescent="0.6">
      <c r="A49" t="s">
        <v>40</v>
      </c>
      <c r="B49" s="27"/>
      <c r="C49" s="28"/>
      <c r="D49" s="32">
        <f>D22+D38+D41+D42</f>
        <v>104.51</v>
      </c>
      <c r="F49" s="27"/>
      <c r="G49" s="28"/>
      <c r="H49" s="32">
        <f>H22+H38+H41+H42</f>
        <v>104.51</v>
      </c>
      <c r="J49" s="27"/>
      <c r="K49" s="28"/>
      <c r="L49" s="32">
        <f>L22+L38+L41+L42</f>
        <v>104.51</v>
      </c>
      <c r="N49" s="27"/>
      <c r="O49" s="28"/>
      <c r="P49" s="32">
        <f>P22+P38+P41+P42</f>
        <v>104.51</v>
      </c>
      <c r="R49" s="27"/>
      <c r="S49" s="28"/>
      <c r="T49" s="32">
        <f>T22+T38+T41+T42</f>
        <v>104.51</v>
      </c>
      <c r="V49" s="27"/>
      <c r="W49" s="28"/>
      <c r="X49" s="32">
        <f>X22+X38+X41+X42</f>
        <v>104.51</v>
      </c>
      <c r="Z49" s="27"/>
      <c r="AA49" s="28"/>
      <c r="AB49" s="32">
        <f>AB22+AB38+AB41+AB42</f>
        <v>110.59</v>
      </c>
      <c r="AD49" s="27"/>
      <c r="AE49" s="28"/>
      <c r="AF49" s="32">
        <f>AF22+AF38+AF41+AF42</f>
        <v>110.59</v>
      </c>
      <c r="AH49" s="27"/>
      <c r="AI49" s="28"/>
      <c r="AJ49" s="32">
        <f>AJ22+AJ38+AJ41+AJ42</f>
        <v>110.59</v>
      </c>
      <c r="AL49" s="27"/>
      <c r="AM49" s="28"/>
      <c r="AN49" s="32">
        <f>AN22+AN38+AN41+AN42</f>
        <v>110.59</v>
      </c>
      <c r="AP49" s="27"/>
      <c r="AQ49" s="28"/>
      <c r="AR49" s="32">
        <f>AR22+AR38+AR41+AR42</f>
        <v>105.89</v>
      </c>
      <c r="AS49" s="176"/>
      <c r="AT49" s="27"/>
      <c r="AU49" s="28"/>
      <c r="AV49" s="32">
        <f>AV22+AV38+AV41+AV42</f>
        <v>111.91</v>
      </c>
    </row>
    <row r="51" spans="1:48" x14ac:dyDescent="0.55000000000000004">
      <c r="A51" t="s">
        <v>81</v>
      </c>
    </row>
    <row r="52" spans="1:48" ht="14.7" thickBot="1" x14ac:dyDescent="0.6"/>
    <row r="53" spans="1:48" x14ac:dyDescent="0.55000000000000004">
      <c r="A53" s="11" t="s">
        <v>83</v>
      </c>
      <c r="B53" s="12">
        <f>Input!$B$9</f>
        <v>2022</v>
      </c>
    </row>
    <row r="54" spans="1:48" x14ac:dyDescent="0.55000000000000004">
      <c r="A54" s="13" t="s">
        <v>6</v>
      </c>
      <c r="B54" s="57" t="s">
        <v>13</v>
      </c>
      <c r="C54" s="37" t="s">
        <v>37</v>
      </c>
    </row>
    <row r="55" spans="1:48" x14ac:dyDescent="0.55000000000000004">
      <c r="A55" s="13" t="s">
        <v>41</v>
      </c>
      <c r="B55" s="14">
        <f>Input!D9</f>
        <v>11</v>
      </c>
    </row>
    <row r="56" spans="1:48" x14ac:dyDescent="0.55000000000000004">
      <c r="A56" s="13" t="s">
        <v>8</v>
      </c>
      <c r="B56" s="14" t="s">
        <v>24</v>
      </c>
    </row>
    <row r="57" spans="1:48" x14ac:dyDescent="0.55000000000000004">
      <c r="A57" s="13" t="s">
        <v>89</v>
      </c>
      <c r="B57" s="14" t="s">
        <v>26</v>
      </c>
    </row>
    <row r="58" spans="1:48" x14ac:dyDescent="0.55000000000000004">
      <c r="A58" s="13" t="s">
        <v>51</v>
      </c>
      <c r="B58" s="14" t="str">
        <f>VLOOKUP(B59,Input!$A$86:$C$92,2,FALSE)</f>
        <v>San Jose Water Company</v>
      </c>
    </row>
    <row r="59" spans="1:48" ht="14.7" thickBot="1" x14ac:dyDescent="0.6">
      <c r="A59" s="15" t="s">
        <v>28</v>
      </c>
      <c r="B59" s="35" t="str">
        <f>'Residential Bill_Current_avg'!B59</f>
        <v>San Jose Water Company</v>
      </c>
    </row>
    <row r="60" spans="1:48" ht="14.7" thickBot="1" x14ac:dyDescent="0.6">
      <c r="A60" s="34"/>
      <c r="B60" s="24"/>
    </row>
    <row r="61" spans="1:48" ht="14.7" thickBot="1" x14ac:dyDescent="0.6">
      <c r="A61" s="1"/>
      <c r="B61" s="209" t="str">
        <f>CONCATENATE("January"," ",$B$5)</f>
        <v>January 2022</v>
      </c>
      <c r="C61" s="210"/>
      <c r="D61" s="211"/>
      <c r="F61" s="209" t="str">
        <f>CONCATENATE("February"," ",$B$5)</f>
        <v>February 2022</v>
      </c>
      <c r="G61" s="210"/>
      <c r="H61" s="211"/>
      <c r="J61" s="209" t="str">
        <f>CONCATENATE("March"," ",$B$5)</f>
        <v>March 2022</v>
      </c>
      <c r="K61" s="210"/>
      <c r="L61" s="211"/>
      <c r="N61" s="209" t="str">
        <f>CONCATENATE("April"," ",$B$5)</f>
        <v>April 2022</v>
      </c>
      <c r="O61" s="210"/>
      <c r="P61" s="211"/>
      <c r="R61" s="209" t="str">
        <f>CONCATENATE("May"," ",$B$5)</f>
        <v>May 2022</v>
      </c>
      <c r="S61" s="210"/>
      <c r="T61" s="211"/>
      <c r="V61" s="209" t="str">
        <f>CONCATENATE("June"," ",$B$5)</f>
        <v>June 2022</v>
      </c>
      <c r="W61" s="210"/>
      <c r="X61" s="211"/>
      <c r="Z61" s="209" t="str">
        <f>CONCATENATE("July"," ",$B$5)</f>
        <v>July 2022</v>
      </c>
      <c r="AA61" s="210"/>
      <c r="AB61" s="211"/>
      <c r="AD61" s="209" t="str">
        <f>CONCATENATE("August"," ",$B$5)</f>
        <v>August 2022</v>
      </c>
      <c r="AE61" s="210"/>
      <c r="AF61" s="211"/>
      <c r="AH61" s="209" t="str">
        <f>CONCATENATE("September"," ",$B$5)</f>
        <v>September 2022</v>
      </c>
      <c r="AI61" s="210"/>
      <c r="AJ61" s="211"/>
      <c r="AL61" s="209" t="str">
        <f>CONCATENATE("October"," ",$B$5)</f>
        <v>October 2022</v>
      </c>
      <c r="AM61" s="210"/>
      <c r="AN61" s="211"/>
      <c r="AP61" s="209" t="str">
        <f>CONCATENATE("November"," ",$B$5)</f>
        <v>November 2022</v>
      </c>
      <c r="AQ61" s="210"/>
      <c r="AR61" s="211"/>
      <c r="AS61" s="171"/>
      <c r="AT61" s="209" t="str">
        <f>CONCATENATE("December"," ",$B$5)</f>
        <v>December 2022</v>
      </c>
      <c r="AU61" s="210"/>
      <c r="AV61" s="211"/>
    </row>
    <row r="62" spans="1:48" x14ac:dyDescent="0.55000000000000004">
      <c r="A62" s="1" t="s">
        <v>5</v>
      </c>
      <c r="B62" s="16"/>
      <c r="C62" s="17"/>
      <c r="D62" s="18">
        <f>INDEX(Input!$C$28:$AL$42,MATCH('Residential Bills_Yr 1_avg'!$B$54,Input!$A$28:$A$42,0),MATCH('Residential Bills_Yr 1_avg'!B$61,Input!$C$27:$AL$27,0))</f>
        <v>41.69</v>
      </c>
      <c r="F62" s="16"/>
      <c r="G62" s="17"/>
      <c r="H62" s="18">
        <f>INDEX(Input!$C$28:$AL$42,MATCH('Residential Bills_Yr 1_avg'!$B$54,Input!$A$28:$A$42,0),MATCH('Residential Bills_Yr 1_avg'!F$61,Input!$C$27:$AL$27,0))</f>
        <v>41.69</v>
      </c>
      <c r="J62" s="16"/>
      <c r="K62" s="17"/>
      <c r="L62" s="18">
        <f>INDEX(Input!$C$28:$AL$42,MATCH('Residential Bills_Yr 1_avg'!$B$54,Input!$A$28:$A$42,0),MATCH('Residential Bills_Yr 1_avg'!J$61,Input!$C$27:$AL$27,0))</f>
        <v>41.69</v>
      </c>
      <c r="N62" s="16"/>
      <c r="O62" s="17"/>
      <c r="P62" s="18">
        <f>INDEX(Input!$C$28:$AL$42,MATCH('Residential Bills_Yr 1_avg'!$B$54,Input!$A$28:$A$42,0),MATCH('Residential Bills_Yr 1_avg'!N$61,Input!$C$27:$AL$27,0))</f>
        <v>41.69</v>
      </c>
      <c r="R62" s="16"/>
      <c r="S62" s="17"/>
      <c r="T62" s="18">
        <f>INDEX(Input!$C$28:$AL$42,MATCH('Residential Bills_Yr 1_avg'!$B$54,Input!$A$28:$A$42,0),MATCH('Residential Bills_Yr 1_avg'!R$61,Input!$C$27:$AL$27,0))</f>
        <v>41.69</v>
      </c>
      <c r="V62" s="16"/>
      <c r="W62" s="17"/>
      <c r="X62" s="18">
        <f>INDEX(Input!$C$28:$AL$42,MATCH('Residential Bills_Yr 1_avg'!$B$54,Input!$A$28:$A$42,0),MATCH('Residential Bills_Yr 1_avg'!V$61,Input!$C$27:$AL$27,0))</f>
        <v>41.69</v>
      </c>
      <c r="Z62" s="16"/>
      <c r="AA62" s="17"/>
      <c r="AB62" s="18">
        <f>INDEX(Input!$C$28:$AL$42,MATCH('Residential Bills_Yr 1_avg'!$B$54,Input!$A$28:$A$42,0),MATCH('Residential Bills_Yr 1_avg'!Z$61,Input!$C$27:$AL$27,0))</f>
        <v>41.71</v>
      </c>
      <c r="AD62" s="16"/>
      <c r="AE62" s="17"/>
      <c r="AF62" s="18">
        <f>INDEX(Input!$C$28:$AL$42,MATCH('Residential Bills_Yr 1_avg'!$B$54,Input!$A$28:$A$42,0),MATCH('Residential Bills_Yr 1_avg'!AD$61,Input!$C$27:$AL$27,0))</f>
        <v>41.71</v>
      </c>
      <c r="AH62" s="16"/>
      <c r="AI62" s="17"/>
      <c r="AJ62" s="18">
        <f>INDEX(Input!$C$28:$AL$42,MATCH('Residential Bills_Yr 1_avg'!$B$54,Input!$A$28:$A$42,0),MATCH('Residential Bills_Yr 1_avg'!AH$61,Input!$C$27:$AL$27,0))</f>
        <v>41.71</v>
      </c>
      <c r="AL62" s="16"/>
      <c r="AM62" s="17"/>
      <c r="AN62" s="18">
        <f>INDEX(Input!$C$28:$AL$42,MATCH('Residential Bills_Yr 1_avg'!$B$54,Input!$A$28:$A$42,0),MATCH('Residential Bills_Yr 1_avg'!AL$61,Input!$C$27:$AL$27,0))</f>
        <v>41.71</v>
      </c>
      <c r="AP62" s="16"/>
      <c r="AQ62" s="17"/>
      <c r="AR62" s="18">
        <f>INDEX(Input!$C$28:$AL$42,MATCH('Residential Bills_Yr 1_avg'!$B$54,Input!$A$28:$A$42,0),MATCH('Residential Bills_Yr 1_avg'!AP$61,Input!$C$27:$AL$27,0))</f>
        <v>50.88</v>
      </c>
      <c r="AS62" s="175"/>
      <c r="AT62" s="16"/>
      <c r="AU62" s="17"/>
      <c r="AV62" s="18">
        <f>INDEX(Input!$C$28:$AL$42,MATCH('Residential Bills_Yr 1_avg'!$B$54,Input!$A$28:$A$42,0),MATCH('Residential Bills_Yr 1_avg'!AT$61,Input!$C$27:$AL$27,0))</f>
        <v>50.88</v>
      </c>
    </row>
    <row r="63" spans="1:48" x14ac:dyDescent="0.55000000000000004">
      <c r="B63" s="16"/>
      <c r="C63" s="17"/>
      <c r="D63" s="19"/>
      <c r="F63" s="16"/>
      <c r="G63" s="17"/>
      <c r="H63" s="19"/>
      <c r="J63" s="16"/>
      <c r="K63" s="17"/>
      <c r="L63" s="19"/>
      <c r="N63" s="16"/>
      <c r="O63" s="17"/>
      <c r="P63" s="19"/>
      <c r="R63" s="16"/>
      <c r="S63" s="17"/>
      <c r="T63" s="19"/>
      <c r="V63" s="16"/>
      <c r="W63" s="17"/>
      <c r="X63" s="19"/>
      <c r="Z63" s="16"/>
      <c r="AA63" s="17"/>
      <c r="AB63" s="19"/>
      <c r="AD63" s="16"/>
      <c r="AE63" s="17"/>
      <c r="AF63" s="19"/>
      <c r="AH63" s="16"/>
      <c r="AI63" s="17"/>
      <c r="AJ63" s="19"/>
      <c r="AL63" s="16"/>
      <c r="AM63" s="17"/>
      <c r="AN63" s="19"/>
      <c r="AP63" s="16"/>
      <c r="AQ63" s="17"/>
      <c r="AR63" s="19"/>
      <c r="AS63" s="17"/>
      <c r="AT63" s="16"/>
      <c r="AU63" s="17"/>
      <c r="AV63" s="19"/>
    </row>
    <row r="64" spans="1:48" ht="16.5" customHeight="1" x14ac:dyDescent="0.55000000000000004">
      <c r="A64" s="1" t="s">
        <v>33</v>
      </c>
      <c r="B64" s="20" t="s">
        <v>29</v>
      </c>
      <c r="C64" s="21" t="s">
        <v>7</v>
      </c>
      <c r="D64" s="22" t="s">
        <v>30</v>
      </c>
      <c r="F64" s="20" t="s">
        <v>29</v>
      </c>
      <c r="G64" s="21" t="s">
        <v>7</v>
      </c>
      <c r="H64" s="111" t="s">
        <v>30</v>
      </c>
      <c r="J64" s="20" t="s">
        <v>29</v>
      </c>
      <c r="K64" s="21" t="s">
        <v>7</v>
      </c>
      <c r="L64" s="111" t="s">
        <v>30</v>
      </c>
      <c r="N64" s="20" t="s">
        <v>29</v>
      </c>
      <c r="O64" s="21" t="s">
        <v>7</v>
      </c>
      <c r="P64" s="111" t="s">
        <v>30</v>
      </c>
      <c r="R64" s="20" t="s">
        <v>29</v>
      </c>
      <c r="S64" s="21" t="s">
        <v>7</v>
      </c>
      <c r="T64" s="111" t="s">
        <v>30</v>
      </c>
      <c r="V64" s="20" t="s">
        <v>29</v>
      </c>
      <c r="W64" s="21" t="s">
        <v>7</v>
      </c>
      <c r="X64" s="111" t="s">
        <v>30</v>
      </c>
      <c r="Z64" s="20" t="s">
        <v>29</v>
      </c>
      <c r="AA64" s="21" t="s">
        <v>7</v>
      </c>
      <c r="AB64" s="111" t="s">
        <v>30</v>
      </c>
      <c r="AD64" s="20" t="s">
        <v>29</v>
      </c>
      <c r="AE64" s="21" t="s">
        <v>7</v>
      </c>
      <c r="AF64" s="111" t="s">
        <v>30</v>
      </c>
      <c r="AH64" s="20" t="s">
        <v>29</v>
      </c>
      <c r="AI64" s="21" t="s">
        <v>7</v>
      </c>
      <c r="AJ64" s="111" t="s">
        <v>30</v>
      </c>
      <c r="AL64" s="20" t="s">
        <v>29</v>
      </c>
      <c r="AM64" s="21" t="s">
        <v>7</v>
      </c>
      <c r="AN64" s="111" t="s">
        <v>30</v>
      </c>
      <c r="AP64" s="20" t="s">
        <v>29</v>
      </c>
      <c r="AQ64" s="21" t="s">
        <v>7</v>
      </c>
      <c r="AR64" s="111" t="s">
        <v>30</v>
      </c>
      <c r="AS64" s="170"/>
      <c r="AT64" s="20" t="s">
        <v>29</v>
      </c>
      <c r="AU64" s="21" t="s">
        <v>7</v>
      </c>
      <c r="AV64" s="111" t="s">
        <v>30</v>
      </c>
    </row>
    <row r="65" spans="1:48" x14ac:dyDescent="0.55000000000000004">
      <c r="A65" t="str">
        <f>A17</f>
        <v>Tier 1</v>
      </c>
      <c r="B65" s="23">
        <f>INDEX(Input!$C$21:$AL$25,MATCH('Residential Bills_Yr 1_avg'!$A65,Input!$A$21:$A$25,0),MATCH('Residential Bills_Yr 1_avg'!B$61,Input!$C$20:$AL$20,0))</f>
        <v>3.7563</v>
      </c>
      <c r="C65" s="24">
        <f>IF($B$55&gt;Input!F94,Input!F94,'Residential Bills_Yr 1_avg'!$B$55)</f>
        <v>6</v>
      </c>
      <c r="D65" s="25">
        <f>ROUND(IFERROR(B65*C65," "),2)</f>
        <v>22.54</v>
      </c>
      <c r="F65" s="23">
        <f>INDEX(Input!$C$21:$AL$25,MATCH('Residential Bills_Yr 1_avg'!$A65,Input!$A$21:$A$25,0),MATCH('Residential Bills_Yr 1_avg'!F$61,Input!$C$20:$AL$20,0))</f>
        <v>3.7563</v>
      </c>
      <c r="G65" s="24">
        <f>IF($B$55&gt;Input!G94,Input!G94,'Residential Bills_Yr 1_avg'!$B$55)</f>
        <v>6</v>
      </c>
      <c r="H65" s="25">
        <f>ROUND(IFERROR(F65*G65," "),2)</f>
        <v>22.54</v>
      </c>
      <c r="J65" s="23">
        <f>INDEX(Input!$C$21:$AL$25,MATCH('Residential Bills_Yr 1_avg'!$A65,Input!$A$21:$A$25,0),MATCH('Residential Bills_Yr 1_avg'!J$61,Input!$C$20:$AL$20,0))</f>
        <v>3.7563</v>
      </c>
      <c r="K65" s="24">
        <f>IF($B$55&gt;Input!H94,Input!H94,'Residential Bills_Yr 1_avg'!$B$55)</f>
        <v>6</v>
      </c>
      <c r="L65" s="25">
        <f>ROUND(IFERROR(J65*K65," "),2)</f>
        <v>22.54</v>
      </c>
      <c r="N65" s="23">
        <f>INDEX(Input!$C$21:$AL$25,MATCH('Residential Bills_Yr 1_avg'!$A65,Input!$A$21:$A$25,0),MATCH('Residential Bills_Yr 1_avg'!N$61,Input!$C$20:$AL$20,0))</f>
        <v>3.7563</v>
      </c>
      <c r="O65" s="24">
        <f>IF($B$55&gt;Input!I94,Input!I94,'Residential Bills_Yr 1_avg'!$B$55)</f>
        <v>6</v>
      </c>
      <c r="P65" s="25">
        <f>ROUND(IFERROR(N65*O65," "),2)</f>
        <v>22.54</v>
      </c>
      <c r="R65" s="23">
        <f>INDEX(Input!$C$21:$AL$25,MATCH('Residential Bills_Yr 1_avg'!$A65,Input!$A$21:$A$25,0),MATCH('Residential Bills_Yr 1_avg'!R$61,Input!$C$20:$AL$20,0))</f>
        <v>3.7563</v>
      </c>
      <c r="S65" s="24">
        <f>IF($B$55&gt;Input!J94,Input!J94,'Residential Bills_Yr 1_avg'!$B$55)</f>
        <v>6</v>
      </c>
      <c r="T65" s="25">
        <f>ROUND(IFERROR(R65*S65," "),2)</f>
        <v>22.54</v>
      </c>
      <c r="V65" s="23">
        <f>INDEX(Input!$C$21:$AL$25,MATCH('Residential Bills_Yr 1_avg'!$A65,Input!$A$21:$A$25,0),MATCH('Residential Bills_Yr 1_avg'!V$61,Input!$C$20:$AL$20,0))</f>
        <v>3.7563</v>
      </c>
      <c r="W65" s="24">
        <f>IF($B$55&gt;Input!K94,Input!K94,'Residential Bills_Yr 1_avg'!$B$55)</f>
        <v>6</v>
      </c>
      <c r="X65" s="25">
        <f>ROUND(IFERROR(V65*W65," "),2)</f>
        <v>22.54</v>
      </c>
      <c r="Z65" s="23">
        <f>INDEX(Input!$C$21:$AL$25,MATCH('Residential Bills_Yr 1_avg'!$A65,Input!$A$21:$A$25,0),MATCH('Residential Bills_Yr 1_avg'!Z$61,Input!$C$20:$AL$20,0))</f>
        <v>4.2720000000000002</v>
      </c>
      <c r="AA65" s="24">
        <f>IF($B$55&gt;Input!L94,Input!L94,'Residential Bills_Yr 1_avg'!$B$55)</f>
        <v>6</v>
      </c>
      <c r="AB65" s="25">
        <f>ROUND(IFERROR(Z65*AA65," "),2)</f>
        <v>25.63</v>
      </c>
      <c r="AD65" s="23">
        <f>INDEX(Input!$C$21:$AL$25,MATCH('Residential Bills_Yr 1_avg'!$A65,Input!$A$21:$A$25,0),MATCH('Residential Bills_Yr 1_avg'!AD$61,Input!$C$20:$AL$20,0))</f>
        <v>4.2720000000000002</v>
      </c>
      <c r="AE65" s="24">
        <f>IF($B$55&gt;Input!M94,Input!M94,'Residential Bills_Yr 1_avg'!$B$55)</f>
        <v>6</v>
      </c>
      <c r="AF65" s="25">
        <f>ROUND(IFERROR(AD65*AE65," "),2)</f>
        <v>25.63</v>
      </c>
      <c r="AH65" s="23">
        <f>INDEX(Input!$C$21:$AL$25,MATCH('Residential Bills_Yr 1_avg'!$A65,Input!$A$21:$A$25,0),MATCH('Residential Bills_Yr 1_avg'!AH$61,Input!$C$20:$AL$20,0))</f>
        <v>4.2720000000000002</v>
      </c>
      <c r="AI65" s="24">
        <f>IF($B$55&gt;Input!N94,Input!N94,'Residential Bills_Yr 1_avg'!$B$55)</f>
        <v>6</v>
      </c>
      <c r="AJ65" s="25">
        <f>ROUND(IFERROR(AH65*AI65," "),2)</f>
        <v>25.63</v>
      </c>
      <c r="AL65" s="23">
        <f>INDEX(Input!$C$21:$AL$25,MATCH('Residential Bills_Yr 1_avg'!$A65,Input!$A$21:$A$25,0),MATCH('Residential Bills_Yr 1_avg'!AL$61,Input!$C$20:$AL$20,0))</f>
        <v>4.2720000000000002</v>
      </c>
      <c r="AM65" s="24">
        <f>IF($B$55&gt;Input!O94,Input!O94,'Residential Bills_Yr 1_avg'!$B$55)</f>
        <v>6</v>
      </c>
      <c r="AN65" s="25">
        <f>ROUND(IFERROR(AL65*AM65," "),2)</f>
        <v>25.63</v>
      </c>
      <c r="AP65" s="23">
        <f>INDEX(Input!$C$21:$AL$25,MATCH('Residential Bills_Yr 1_avg'!$A65,Input!$A$21:$A$25,0),MATCH('Residential Bills_Yr 1_avg'!AP$61,Input!$C$20:$AL$20,0))</f>
        <v>4.0001999999999995</v>
      </c>
      <c r="AQ65" s="24">
        <f>IF($B$55&gt;Input!P94,Input!P94,'Residential Bills_Yr 1_avg'!$B$55)</f>
        <v>6</v>
      </c>
      <c r="AR65" s="25">
        <f>ROUND(IFERROR(AP65*AQ65," "),2)</f>
        <v>24</v>
      </c>
      <c r="AS65" s="30"/>
      <c r="AT65" s="23">
        <f>INDEX(Input!$C$21:$AL$25,MATCH('Residential Bills_Yr 1_avg'!$A65,Input!$A$21:$A$25,0),MATCH('Residential Bills_Yr 1_avg'!AT$61,Input!$C$20:$AL$20,0))</f>
        <v>4.0001999999999995</v>
      </c>
      <c r="AU65" s="24">
        <f>IF($B$55&gt;Input!Q94,Input!Q94,'Residential Bills_Yr 1_avg'!$B$55)</f>
        <v>6</v>
      </c>
      <c r="AV65" s="25">
        <f>ROUND(IFERROR(AT65*AU65," "),2)</f>
        <v>24</v>
      </c>
    </row>
    <row r="66" spans="1:48" x14ac:dyDescent="0.55000000000000004">
      <c r="A66" t="str">
        <f>A18</f>
        <v>Tier 2</v>
      </c>
      <c r="B66" s="23">
        <f>INDEX(Input!$C$21:$AL$25,MATCH('Residential Bills_Yr 1_avg'!$A66,Input!$A$21:$A$25,0),MATCH('Residential Bills_Yr 1_avg'!B$61,Input!$C$20:$AL$20,0))</f>
        <v>5.4452999999999996</v>
      </c>
      <c r="C66" s="24">
        <f>IF(($B$55-C65)&gt;Input!F95,Input!F95,($B$55-C65))</f>
        <v>5</v>
      </c>
      <c r="D66" s="25">
        <f>ROUND(IFERROR(B66*C66," "),2)</f>
        <v>27.23</v>
      </c>
      <c r="F66" s="23">
        <f>INDEX(Input!$C$21:$AL$25,MATCH('Residential Bills_Yr 1_avg'!$A66,Input!$A$21:$A$25,0),MATCH('Residential Bills_Yr 1_avg'!F$61,Input!$C$20:$AL$20,0))</f>
        <v>5.4452999999999996</v>
      </c>
      <c r="G66" s="24">
        <f>IF(($B$55-G65)&gt;Input!G95,Input!G95,($B$55-G65))</f>
        <v>5</v>
      </c>
      <c r="H66" s="25">
        <f>ROUND(IFERROR(F66*G66," "),2)</f>
        <v>27.23</v>
      </c>
      <c r="J66" s="23">
        <f>INDEX(Input!$C$21:$AL$25,MATCH('Residential Bills_Yr 1_avg'!$A66,Input!$A$21:$A$25,0),MATCH('Residential Bills_Yr 1_avg'!J$61,Input!$C$20:$AL$20,0))</f>
        <v>5.4452999999999996</v>
      </c>
      <c r="K66" s="24">
        <f>IF(($B$55-K65)&gt;Input!H95,Input!H95,($B$55-K65))</f>
        <v>5</v>
      </c>
      <c r="L66" s="25">
        <f>ROUND(IFERROR(J66*K66," "),2)</f>
        <v>27.23</v>
      </c>
      <c r="N66" s="23">
        <f>INDEX(Input!$C$21:$AL$25,MATCH('Residential Bills_Yr 1_avg'!$A66,Input!$A$21:$A$25,0),MATCH('Residential Bills_Yr 1_avg'!N$61,Input!$C$20:$AL$20,0))</f>
        <v>5.4452999999999996</v>
      </c>
      <c r="O66" s="24">
        <f>IF(($B$55-O65)&gt;Input!I95,Input!I95,($B$55-O65))</f>
        <v>5</v>
      </c>
      <c r="P66" s="25">
        <f>ROUND(IFERROR(N66*O66," "),2)</f>
        <v>27.23</v>
      </c>
      <c r="R66" s="23">
        <f>INDEX(Input!$C$21:$AL$25,MATCH('Residential Bills_Yr 1_avg'!$A66,Input!$A$21:$A$25,0),MATCH('Residential Bills_Yr 1_avg'!R$61,Input!$C$20:$AL$20,0))</f>
        <v>5.4452999999999996</v>
      </c>
      <c r="S66" s="24">
        <f>IF(($B$55-S65)&gt;Input!J95,Input!J95,($B$55-S65))</f>
        <v>5</v>
      </c>
      <c r="T66" s="25">
        <f>ROUND(IFERROR(R66*S66," "),2)</f>
        <v>27.23</v>
      </c>
      <c r="V66" s="23">
        <f>INDEX(Input!$C$21:$AL$25,MATCH('Residential Bills_Yr 1_avg'!$A66,Input!$A$21:$A$25,0),MATCH('Residential Bills_Yr 1_avg'!V$61,Input!$C$20:$AL$20,0))</f>
        <v>5.4452999999999996</v>
      </c>
      <c r="W66" s="24">
        <f>IF(($B$55-W65)&gt;Input!K95,Input!K95,($B$55-S65))</f>
        <v>5</v>
      </c>
      <c r="X66" s="25">
        <f>ROUND(IFERROR(V66*W66," "),2)</f>
        <v>27.23</v>
      </c>
      <c r="Z66" s="23">
        <f>INDEX(Input!$C$21:$AL$25,MATCH('Residential Bills_Yr 1_avg'!$A66,Input!$A$21:$A$25,0),MATCH('Residential Bills_Yr 1_avg'!Z$61,Input!$C$20:$AL$20,0))</f>
        <v>5.9619999999999997</v>
      </c>
      <c r="AA66" s="24">
        <f>IF(($B$55-AA65)&gt;Input!L95,Input!L95,($B$55-AA65))</f>
        <v>5</v>
      </c>
      <c r="AB66" s="25">
        <f>ROUND(IFERROR(Z66*AA66," "),2)</f>
        <v>29.81</v>
      </c>
      <c r="AD66" s="23">
        <f>INDEX(Input!$C$21:$AL$25,MATCH('Residential Bills_Yr 1_avg'!$A66,Input!$A$21:$A$25,0),MATCH('Residential Bills_Yr 1_avg'!AD$61,Input!$C$20:$AL$20,0))</f>
        <v>5.9619999999999997</v>
      </c>
      <c r="AE66" s="24">
        <f>IF(($B$55-AE65)&gt;Input!M95,Input!M95,($B$55-AE65))</f>
        <v>5</v>
      </c>
      <c r="AF66" s="25">
        <f>ROUND(IFERROR(AD66*AE66," "),2)</f>
        <v>29.81</v>
      </c>
      <c r="AH66" s="23">
        <f>INDEX(Input!$C$21:$AL$25,MATCH('Residential Bills_Yr 1_avg'!$A66,Input!$A$21:$A$25,0),MATCH('Residential Bills_Yr 1_avg'!AH$61,Input!$C$20:$AL$20,0))</f>
        <v>5.9619999999999997</v>
      </c>
      <c r="AI66" s="24">
        <f>IF(($B$55-AI65)&gt;Input!N95,Input!N95,($B$55-AI65))</f>
        <v>5</v>
      </c>
      <c r="AJ66" s="25">
        <f>ROUND(IFERROR(AH66*AI66," "),2)</f>
        <v>29.81</v>
      </c>
      <c r="AL66" s="23">
        <f>INDEX(Input!$C$21:$AL$25,MATCH('Residential Bills_Yr 1_avg'!$A66,Input!$A$21:$A$25,0),MATCH('Residential Bills_Yr 1_avg'!AL$61,Input!$C$20:$AL$20,0))</f>
        <v>5.9619999999999997</v>
      </c>
      <c r="AM66" s="24">
        <f>IF(($B$55-AM65)&gt;Input!O95,Input!O95,($B$55-AM65))</f>
        <v>5</v>
      </c>
      <c r="AN66" s="25">
        <f>ROUND(IFERROR(AL66*AM66," "),2)</f>
        <v>29.81</v>
      </c>
      <c r="AP66" s="23">
        <f>INDEX(Input!$C$21:$AL$25,MATCH('Residential Bills_Yr 1_avg'!$A66,Input!$A$21:$A$25,0),MATCH('Residential Bills_Yr 1_avg'!AP$61,Input!$C$20:$AL$20,0))</f>
        <v>5.7175000000000002</v>
      </c>
      <c r="AQ66" s="24">
        <f>IF(($B$55-AQ65)&gt;Input!P95,Input!P95,($B$55-AQ65))</f>
        <v>5</v>
      </c>
      <c r="AR66" s="25">
        <f>ROUND(IFERROR(AP66*AQ66," "),2)</f>
        <v>28.59</v>
      </c>
      <c r="AS66" s="30"/>
      <c r="AT66" s="23">
        <f>INDEX(Input!$C$21:$AL$25,MATCH('Residential Bills_Yr 1_avg'!$A66,Input!$A$21:$A$25,0),MATCH('Residential Bills_Yr 1_avg'!AT$61,Input!$C$20:$AL$20,0))</f>
        <v>5.7175000000000002</v>
      </c>
      <c r="AU66" s="24">
        <f>IF(($B$55-AU65)&gt;Input!Q95,Input!Q95,($B$55-AU65))</f>
        <v>5</v>
      </c>
      <c r="AV66" s="25">
        <f>ROUND(IFERROR(AT66*AU66," "),2)</f>
        <v>28.59</v>
      </c>
    </row>
    <row r="67" spans="1:48" x14ac:dyDescent="0.55000000000000004">
      <c r="A67" t="str">
        <f>A19</f>
        <v>Tier 3</v>
      </c>
      <c r="B67" s="23">
        <f>INDEX(Input!$C$21:$AL$25,MATCH('Residential Bills_Yr 1_avg'!$A67,Input!$A$21:$A$25,0),MATCH('Residential Bills_Yr 1_avg'!B$61,Input!$C$20:$AL$20,0))</f>
        <v>7.1337999999999999</v>
      </c>
      <c r="C67" s="24">
        <f>IF(OR(Input!F128="Tier 4",Input!F128="Tier 5"),IF(('Residential Bills_Yr 1_avg'!$B$55-'Residential Bills_Yr 1_avg'!C65-'Residential Bills_Yr 1_avg'!C66)&gt;Input!F96,Input!F96,('Residential Bills_Yr 1_avg'!$B$55-'Residential Bills_Yr 1_avg'!C65-'Residential Bills_Yr 1_avg'!C66)),('Residential Bills_Yr 1_avg'!$B$55-'Residential Bills_Yr 1_avg'!C65-'Residential Bills_Yr 1_avg'!C66))</f>
        <v>0</v>
      </c>
      <c r="D67" s="25">
        <f>ROUND(IFERROR(B67*C67," "),2)</f>
        <v>0</v>
      </c>
      <c r="F67" s="23">
        <f>INDEX(Input!$C$21:$AL$25,MATCH('Residential Bills_Yr 1_avg'!$A67,Input!$A$21:$A$25,0),MATCH('Residential Bills_Yr 1_avg'!F$61,Input!$C$20:$AL$20,0))</f>
        <v>7.1337999999999999</v>
      </c>
      <c r="G67" s="24">
        <f>IF(OR(Input!G128="Tier 4",Input!G128="Tier 5"),IF(('Residential Bills_Yr 1_avg'!$B$55-'Residential Bills_Yr 1_avg'!G65-'Residential Bills_Yr 1_avg'!G66)&gt;Input!G96,Input!G96,('Residential Bills_Yr 1_avg'!$B$55-'Residential Bills_Yr 1_avg'!G65-'Residential Bills_Yr 1_avg'!G66)),('Residential Bills_Yr 1_avg'!$B$55-'Residential Bills_Yr 1_avg'!G65-'Residential Bills_Yr 1_avg'!G66))</f>
        <v>0</v>
      </c>
      <c r="H67" s="25">
        <f>ROUND(IFERROR(F67*G67," "),2)</f>
        <v>0</v>
      </c>
      <c r="J67" s="23">
        <f>INDEX(Input!$C$21:$AL$25,MATCH('Residential Bills_Yr 1_avg'!$A67,Input!$A$21:$A$25,0),MATCH('Residential Bills_Yr 1_avg'!J$61,Input!$C$20:$AL$20,0))</f>
        <v>7.1337999999999999</v>
      </c>
      <c r="K67" s="24">
        <f>IF(OR(Input!H128="Tier 4",Input!H128="Tier 5"),IF(('Residential Bills_Yr 1_avg'!$B$55-'Residential Bills_Yr 1_avg'!K65-'Residential Bills_Yr 1_avg'!K66)&gt;Input!H96,Input!H96,('Residential Bills_Yr 1_avg'!$B$55-'Residential Bills_Yr 1_avg'!K65-'Residential Bills_Yr 1_avg'!K66)),('Residential Bills_Yr 1_avg'!$B$55-'Residential Bills_Yr 1_avg'!K65-'Residential Bills_Yr 1_avg'!K66))</f>
        <v>0</v>
      </c>
      <c r="L67" s="25">
        <f>ROUND(IFERROR(J67*K67," "),2)</f>
        <v>0</v>
      </c>
      <c r="N67" s="23">
        <f>INDEX(Input!$C$21:$AL$25,MATCH('Residential Bills_Yr 1_avg'!$A67,Input!$A$21:$A$25,0),MATCH('Residential Bills_Yr 1_avg'!N$61,Input!$C$20:$AL$20,0))</f>
        <v>7.1337999999999999</v>
      </c>
      <c r="O67" s="24">
        <f>IF(OR(Input!I128="Tier 4",Input!I128="Tier 5"),IF(('Residential Bills_Yr 1_avg'!$B$55-'Residential Bills_Yr 1_avg'!O65-'Residential Bills_Yr 1_avg'!O66)&gt;Input!I96,Input!I96,('Residential Bills_Yr 1_avg'!$B$55-'Residential Bills_Yr 1_avg'!O65-'Residential Bills_Yr 1_avg'!O66)),('Residential Bills_Yr 1_avg'!$B$55-'Residential Bills_Yr 1_avg'!O65-'Residential Bills_Yr 1_avg'!O66))</f>
        <v>0</v>
      </c>
      <c r="P67" s="25">
        <f>ROUND(IFERROR(N67*O67," "),2)</f>
        <v>0</v>
      </c>
      <c r="R67" s="23">
        <f>INDEX(Input!$C$21:$AL$25,MATCH('Residential Bills_Yr 1_avg'!$A67,Input!$A$21:$A$25,0),MATCH('Residential Bills_Yr 1_avg'!R$61,Input!$C$20:$AL$20,0))</f>
        <v>7.1337999999999999</v>
      </c>
      <c r="S67" s="24">
        <f>IF(OR(Input!J128="Tier 4",Input!J128="Tier 5"),IF(('Residential Bills_Yr 1_avg'!$B$55-'Residential Bills_Yr 1_avg'!S65-'Residential Bills_Yr 1_avg'!S66)&gt;Input!J96,Input!J96,('Residential Bills_Yr 1_avg'!$B$55-'Residential Bills_Yr 1_avg'!S65-'Residential Bills_Yr 1_avg'!S66)),('Residential Bills_Yr 1_avg'!$B$55-'Residential Bills_Yr 1_avg'!S65-'Residential Bills_Yr 1_avg'!S66))</f>
        <v>0</v>
      </c>
      <c r="T67" s="25">
        <f>ROUND(IFERROR(R67*S67," "),2)</f>
        <v>0</v>
      </c>
      <c r="V67" s="23">
        <f>INDEX(Input!$C$21:$AL$25,MATCH('Residential Bills_Yr 1_avg'!$A67,Input!$A$21:$A$25,0),MATCH('Residential Bills_Yr 1_avg'!V$61,Input!$C$20:$AL$20,0))</f>
        <v>7.1337999999999999</v>
      </c>
      <c r="W67" s="24">
        <f>IF(OR(Input!K128="Tier 4",Input!K128="Tier 5"),IF(('Residential Bills_Yr 1_avg'!$B$55-'Residential Bills_Yr 1_avg'!W65-'Residential Bills_Yr 1_avg'!W66)&gt;Input!K96,Input!K96,('Residential Bills_Yr 1_avg'!$B$55-'Residential Bills_Yr 1_avg'!W65-'Residential Bills_Yr 1_avg'!W66)),('Residential Bills_Yr 1_avg'!$B$55-'Residential Bills_Yr 1_avg'!W65-'Residential Bills_Yr 1_avg'!W66))</f>
        <v>0</v>
      </c>
      <c r="X67" s="25">
        <f>ROUND(IFERROR(V67*W67," "),2)</f>
        <v>0</v>
      </c>
      <c r="Z67" s="23">
        <f>INDEX(Input!$C$21:$AL$25,MATCH('Residential Bills_Yr 1_avg'!$A67,Input!$A$21:$A$25,0),MATCH('Residential Bills_Yr 1_avg'!Z$61,Input!$C$20:$AL$20,0))</f>
        <v>7.6515000000000004</v>
      </c>
      <c r="AA67" s="24">
        <f>IF(OR(Input!L128="Tier 4",Input!L128="Tier 5"),IF(('Residential Bills_Yr 1_avg'!$B$55-'Residential Bills_Yr 1_avg'!AA65-'Residential Bills_Yr 1_avg'!AA66)&gt;Input!L96,Input!L96,('Residential Bills_Yr 1_avg'!$B$55-'Residential Bills_Yr 1_avg'!AA65-'Residential Bills_Yr 1_avg'!AA66)),('Residential Bills_Yr 1_avg'!$B$55-'Residential Bills_Yr 1_avg'!AA65-'Residential Bills_Yr 1_avg'!AA66))</f>
        <v>0</v>
      </c>
      <c r="AB67" s="25">
        <f>ROUND(IFERROR(Z67*AA67," "),2)</f>
        <v>0</v>
      </c>
      <c r="AD67" s="23">
        <f>INDEX(Input!$C$21:$AL$25,MATCH('Residential Bills_Yr 1_avg'!$A67,Input!$A$21:$A$25,0),MATCH('Residential Bills_Yr 1_avg'!AD$61,Input!$C$20:$AL$20,0))</f>
        <v>7.6515000000000004</v>
      </c>
      <c r="AE67" s="24">
        <f>IF(OR(Input!M128="Tier 4",Input!M128="Tier 5"),IF(('Residential Bills_Yr 1_avg'!$B$55-'Residential Bills_Yr 1_avg'!AE65-'Residential Bills_Yr 1_avg'!AE66)&gt;Input!M96,Input!M96,('Residential Bills_Yr 1_avg'!$B$55-'Residential Bills_Yr 1_avg'!AE65-'Residential Bills_Yr 1_avg'!AE66)),('Residential Bills_Yr 1_avg'!$B$55-'Residential Bills_Yr 1_avg'!AE65-'Residential Bills_Yr 1_avg'!AE66))</f>
        <v>0</v>
      </c>
      <c r="AF67" s="25">
        <f>ROUND(IFERROR(AD67*AE67," "),2)</f>
        <v>0</v>
      </c>
      <c r="AH67" s="23">
        <f>INDEX(Input!$C$21:$AL$25,MATCH('Residential Bills_Yr 1_avg'!$A67,Input!$A$21:$A$25,0),MATCH('Residential Bills_Yr 1_avg'!AH$61,Input!$C$20:$AL$20,0))</f>
        <v>7.6515000000000004</v>
      </c>
      <c r="AI67" s="24">
        <f>IF(OR(Input!N128="Tier 4",Input!N128="Tier 5"),IF(('Residential Bills_Yr 1_avg'!$B$55-'Residential Bills_Yr 1_avg'!AI65-'Residential Bills_Yr 1_avg'!AI66)&gt;Input!N96,Input!N96,('Residential Bills_Yr 1_avg'!$B$55-'Residential Bills_Yr 1_avg'!AI65-'Residential Bills_Yr 1_avg'!AI66)),('Residential Bills_Yr 1_avg'!$B$55-'Residential Bills_Yr 1_avg'!AI65-'Residential Bills_Yr 1_avg'!AI66))</f>
        <v>0</v>
      </c>
      <c r="AJ67" s="25">
        <f>ROUND(IFERROR(AH67*AI67," "),2)</f>
        <v>0</v>
      </c>
      <c r="AL67" s="23">
        <f>INDEX(Input!$C$21:$AL$25,MATCH('Residential Bills_Yr 1_avg'!$A67,Input!$A$21:$A$25,0),MATCH('Residential Bills_Yr 1_avg'!AL$61,Input!$C$20:$AL$20,0))</f>
        <v>7.6515000000000004</v>
      </c>
      <c r="AM67" s="24">
        <f>IF(OR(Input!O128="Tier 4",Input!O128="Tier 5"),IF(('Residential Bills_Yr 1_avg'!$B$55-'Residential Bills_Yr 1_avg'!AM65-'Residential Bills_Yr 1_avg'!AM66)&gt;Input!O96,Input!O96,('Residential Bills_Yr 1_avg'!$B$55-'Residential Bills_Yr 1_avg'!AM65-'Residential Bills_Yr 1_avg'!AM66)),('Residential Bills_Yr 1_avg'!$B$55-'Residential Bills_Yr 1_avg'!AM65-'Residential Bills_Yr 1_avg'!AM66))</f>
        <v>0</v>
      </c>
      <c r="AN67" s="25">
        <f>ROUND(IFERROR(AL67*AM67," "),2)</f>
        <v>0</v>
      </c>
      <c r="AP67" s="23">
        <f>INDEX(Input!$C$21:$AL$25,MATCH('Residential Bills_Yr 1_avg'!$A67,Input!$A$21:$A$25,0),MATCH('Residential Bills_Yr 1_avg'!AP$61,Input!$C$20:$AL$20,0))</f>
        <v>8.821299999999999</v>
      </c>
      <c r="AQ67" s="24">
        <f>IF(OR(Input!P128="Tier 4",Input!P128="Tier 5"),IF(('Residential Bills_Yr 1_avg'!$B$55-'Residential Bills_Yr 1_avg'!AQ65-'Residential Bills_Yr 1_avg'!AQ66)&gt;Input!P96,Input!P96,('Residential Bills_Yr 1_avg'!$B$55-'Residential Bills_Yr 1_avg'!AQ65-'Residential Bills_Yr 1_avg'!AQ66)),('Residential Bills_Yr 1_avg'!$B$55-'Residential Bills_Yr 1_avg'!AQ65-'Residential Bills_Yr 1_avg'!AQ66))</f>
        <v>0</v>
      </c>
      <c r="AR67" s="25">
        <f>ROUND(IFERROR(AP67*AQ67," "),2)</f>
        <v>0</v>
      </c>
      <c r="AS67" s="30"/>
      <c r="AT67" s="23">
        <f>INDEX(Input!$C$21:$AL$25,MATCH('Residential Bills_Yr 1_avg'!$A67,Input!$A$21:$A$25,0),MATCH('Residential Bills_Yr 1_avg'!AT$61,Input!$C$20:$AL$20,0))</f>
        <v>8.821299999999999</v>
      </c>
      <c r="AU67" s="24">
        <f>IF(OR(Input!Q128="Tier 4",Input!Q128="Tier 5"),IF(('Residential Bills_Yr 1_avg'!$B$55-'Residential Bills_Yr 1_avg'!AU65-'Residential Bills_Yr 1_avg'!AU66)&gt;Input!Q96,Input!Q96,('Residential Bills_Yr 1_avg'!$B$55-'Residential Bills_Yr 1_avg'!AU65-'Residential Bills_Yr 1_avg'!AU66)),('Residential Bills_Yr 1_avg'!$B$55-'Residential Bills_Yr 1_avg'!AU65-'Residential Bills_Yr 1_avg'!AU66))</f>
        <v>0</v>
      </c>
      <c r="AV67" s="25">
        <f>ROUND(IFERROR(AT67*AU67," "),2)</f>
        <v>0</v>
      </c>
    </row>
    <row r="68" spans="1:48" ht="14.5" customHeight="1" x14ac:dyDescent="0.55000000000000004">
      <c r="A68" t="str">
        <f>A20</f>
        <v>Tier 4</v>
      </c>
      <c r="B68" s="23">
        <f>INDEX(Input!$C$21:$AL$25,MATCH('Residential Bills_Yr 1_avg'!$A68,Input!$A$21:$A$25,0),MATCH('Residential Bills_Yr 1_avg'!B$61,Input!$C$20:$AL$20,0))</f>
        <v>0</v>
      </c>
      <c r="C68" s="24" t="str">
        <f>IF(Input!F128="Tier 4",($B$55-C65-C66-C67),IF(Input!F128="Tier 5",IF(('Residential Bills_Yr 1_avg'!$B$55-'Residential Bills_Yr 1_avg'!C65-'Residential Bills_Yr 1_avg'!C66-'Residential Bills_Yr 1_avg'!C67)&gt;Input!F133,Input!F133,('Residential Bills_Yr 1_avg'!$B$55-'Residential Bills_Yr 1_avg'!C65-'Residential Bills_Yr 1_avg'!C66-'Residential Bills_Yr 1_avg'!C67))," "))</f>
        <v xml:space="preserve"> </v>
      </c>
      <c r="D68" s="25" t="str">
        <f t="shared" ref="D68:D69" si="24">IFERROR(B68*C68," ")</f>
        <v xml:space="preserve"> </v>
      </c>
      <c r="F68" s="23">
        <f>INDEX(Input!$C$21:$AL$25,MATCH('Residential Bills_Yr 1_avg'!$A68,Input!$A$21:$A$25,0),MATCH('Residential Bills_Yr 1_avg'!F$61,Input!$C$20:$AL$20,0))</f>
        <v>0</v>
      </c>
      <c r="G68" s="24" t="str">
        <f>IF(Input!G128="Tier 4",($B$55-G65-G66-G67),IF(Input!G128="Tier 5",IF(('Residential Bills_Yr 1_avg'!$B$55-'Residential Bills_Yr 1_avg'!G65-'Residential Bills_Yr 1_avg'!G66-'Residential Bills_Yr 1_avg'!G67)&gt;Input!G133,Input!G133,('Residential Bills_Yr 1_avg'!$B$55-'Residential Bills_Yr 1_avg'!G65-'Residential Bills_Yr 1_avg'!G66-'Residential Bills_Yr 1_avg'!G67))," "))</f>
        <v xml:space="preserve"> </v>
      </c>
      <c r="H68" s="25" t="str">
        <f t="shared" ref="H68:H69" si="25">IFERROR(F68*G68," ")</f>
        <v xml:space="preserve"> </v>
      </c>
      <c r="J68" s="23">
        <f>INDEX(Input!$C$21:$AL$25,MATCH('Residential Bills_Yr 1_avg'!$A68,Input!$A$21:$A$25,0),MATCH('Residential Bills_Yr 1_avg'!J$61,Input!$C$20:$AL$20,0))</f>
        <v>0</v>
      </c>
      <c r="K68" s="24" t="str">
        <f>IF(Input!H128="Tier 4",($B$55-K65-K66-K67),IF(Input!H128="Tier 5",IF(('Residential Bills_Yr 1_avg'!$B$55-'Residential Bills_Yr 1_avg'!K65-'Residential Bills_Yr 1_avg'!K66-'Residential Bills_Yr 1_avg'!K67)&gt;Input!H133,Input!H133,('Residential Bills_Yr 1_avg'!$B$55-'Residential Bills_Yr 1_avg'!K65-'Residential Bills_Yr 1_avg'!K66-'Residential Bills_Yr 1_avg'!K67))," "))</f>
        <v xml:space="preserve"> </v>
      </c>
      <c r="L68" s="25" t="str">
        <f t="shared" ref="L68:L69" si="26">IFERROR(J68*K68," ")</f>
        <v xml:space="preserve"> </v>
      </c>
      <c r="N68" s="23">
        <f>INDEX(Input!$C$21:$AL$25,MATCH('Residential Bills_Yr 1_avg'!$A68,Input!$A$21:$A$25,0),MATCH('Residential Bills_Yr 1_avg'!N$61,Input!$C$20:$AL$20,0))</f>
        <v>0</v>
      </c>
      <c r="O68" s="24" t="str">
        <f>IF(Input!I128="Tier 4",($B$55-O65-O66-O67),IF(Input!I128="Tier 5",IF(('Residential Bills_Yr 1_avg'!$B$55-'Residential Bills_Yr 1_avg'!O65-'Residential Bills_Yr 1_avg'!O66-'Residential Bills_Yr 1_avg'!O67)&gt;Input!I133,Input!I133,('Residential Bills_Yr 1_avg'!$B$55-'Residential Bills_Yr 1_avg'!O65-'Residential Bills_Yr 1_avg'!O66-'Residential Bills_Yr 1_avg'!O67))," "))</f>
        <v xml:space="preserve"> </v>
      </c>
      <c r="P68" s="25" t="str">
        <f t="shared" ref="P68:P69" si="27">IFERROR(N68*O68," ")</f>
        <v xml:space="preserve"> </v>
      </c>
      <c r="R68" s="23">
        <f>INDEX(Input!$C$21:$AL$25,MATCH('Residential Bills_Yr 1_avg'!$A68,Input!$A$21:$A$25,0),MATCH('Residential Bills_Yr 1_avg'!R$61,Input!$C$20:$AL$20,0))</f>
        <v>0</v>
      </c>
      <c r="S68" s="24" t="str">
        <f>IF(Input!J128="Tier 4",($B$55-S65-S66-S67),IF(Input!J128="Tier 5",IF(('Residential Bills_Yr 1_avg'!$B$55-'Residential Bills_Yr 1_avg'!S65-'Residential Bills_Yr 1_avg'!S66-'Residential Bills_Yr 1_avg'!S67)&gt;Input!J133,Input!J133,('Residential Bills_Yr 1_avg'!$B$55-'Residential Bills_Yr 1_avg'!S65-'Residential Bills_Yr 1_avg'!S66-'Residential Bills_Yr 1_avg'!S67))," "))</f>
        <v xml:space="preserve"> </v>
      </c>
      <c r="T68" s="25" t="str">
        <f t="shared" ref="T68:T69" si="28">IFERROR(R68*S68," ")</f>
        <v xml:space="preserve"> </v>
      </c>
      <c r="V68" s="23">
        <f>INDEX(Input!$C$21:$AL$25,MATCH('Residential Bills_Yr 1_avg'!$A68,Input!$A$21:$A$25,0),MATCH('Residential Bills_Yr 1_avg'!V$61,Input!$C$20:$AL$20,0))</f>
        <v>0</v>
      </c>
      <c r="W68" s="24" t="str">
        <f>IF(Input!K128="Tier 4",($B$55-W65-W66-W67),IF(Input!K128="Tier 5",IF(('Residential Bills_Yr 1_avg'!$B$55-'Residential Bills_Yr 1_avg'!W65-'Residential Bills_Yr 1_avg'!W66-'Residential Bills_Yr 1_avg'!W67)&gt;Input!K133,Input!K133,('Residential Bills_Yr 1_avg'!$B$55-'Residential Bills_Yr 1_avg'!W65-'Residential Bills_Yr 1_avg'!W66-'Residential Bills_Yr 1_avg'!W67))," "))</f>
        <v xml:space="preserve"> </v>
      </c>
      <c r="X68" s="25" t="str">
        <f t="shared" ref="X68:X69" si="29">IFERROR(V68*W68," ")</f>
        <v xml:space="preserve"> </v>
      </c>
      <c r="Z68" s="23">
        <f>INDEX(Input!$C$21:$AL$25,MATCH('Residential Bills_Yr 1_avg'!$A68,Input!$A$21:$A$25,0),MATCH('Residential Bills_Yr 1_avg'!Z$61,Input!$C$20:$AL$20,0))</f>
        <v>0</v>
      </c>
      <c r="AA68" s="24" t="str">
        <f>IF(Input!L128="Tier 4",($B$55-AA65-AA66-AA67),IF(Input!L128="Tier 5",IF(('Residential Bills_Yr 1_avg'!$B$55-'Residential Bills_Yr 1_avg'!AA65-'Residential Bills_Yr 1_avg'!AA66-'Residential Bills_Yr 1_avg'!AA67)&gt;Input!L133,Input!L133,('Residential Bills_Yr 1_avg'!$B$55-'Residential Bills_Yr 1_avg'!AA65-'Residential Bills_Yr 1_avg'!AA66-'Residential Bills_Yr 1_avg'!AA67))," "))</f>
        <v xml:space="preserve"> </v>
      </c>
      <c r="AB68" s="25" t="str">
        <f t="shared" ref="AB68:AB69" si="30">IFERROR(Z68*AA68," ")</f>
        <v xml:space="preserve"> </v>
      </c>
      <c r="AD68" s="23">
        <f>INDEX(Input!$C$21:$AL$25,MATCH('Residential Bills_Yr 1_avg'!$A68,Input!$A$21:$A$25,0),MATCH('Residential Bills_Yr 1_avg'!AD$61,Input!$C$20:$AL$20,0))</f>
        <v>0</v>
      </c>
      <c r="AE68" s="24" t="str">
        <f>IF(Input!M128="Tier 4",($B$55-AE65-AE66-AE67),IF(Input!M128="Tier 5",IF(('Residential Bills_Yr 1_avg'!$B$55-'Residential Bills_Yr 1_avg'!AE65-'Residential Bills_Yr 1_avg'!AE66-'Residential Bills_Yr 1_avg'!AE67)&gt;Input!M133,Input!M133,('Residential Bills_Yr 1_avg'!$B$55-'Residential Bills_Yr 1_avg'!AE65-'Residential Bills_Yr 1_avg'!AE66-'Residential Bills_Yr 1_avg'!AE67))," "))</f>
        <v xml:space="preserve"> </v>
      </c>
      <c r="AF68" s="25" t="str">
        <f t="shared" ref="AF68:AF69" si="31">IFERROR(AD68*AE68," ")</f>
        <v xml:space="preserve"> </v>
      </c>
      <c r="AH68" s="23">
        <f>INDEX(Input!$C$21:$AL$25,MATCH('Residential Bills_Yr 1_avg'!$A68,Input!$A$21:$A$25,0),MATCH('Residential Bills_Yr 1_avg'!AH$61,Input!$C$20:$AL$20,0))</f>
        <v>0</v>
      </c>
      <c r="AI68" s="24" t="str">
        <f>IF(Input!N128="Tier 4",($B$55-AI65-AI66-AI67),IF(Input!N128="Tier 5",IF(('Residential Bills_Yr 1_avg'!$B$55-'Residential Bills_Yr 1_avg'!AI65-'Residential Bills_Yr 1_avg'!AI66-'Residential Bills_Yr 1_avg'!AI67)&gt;Input!N133,Input!N133,('Residential Bills_Yr 1_avg'!$B$55-'Residential Bills_Yr 1_avg'!AI65-'Residential Bills_Yr 1_avg'!AI66-'Residential Bills_Yr 1_avg'!AI67))," "))</f>
        <v xml:space="preserve"> </v>
      </c>
      <c r="AJ68" s="25" t="str">
        <f t="shared" ref="AJ68:AJ69" si="32">IFERROR(AH68*AI68," ")</f>
        <v xml:space="preserve"> </v>
      </c>
      <c r="AL68" s="23">
        <f>INDEX(Input!$C$21:$AL$25,MATCH('Residential Bills_Yr 1_avg'!$A68,Input!$A$21:$A$25,0),MATCH('Residential Bills_Yr 1_avg'!AL$61,Input!$C$20:$AL$20,0))</f>
        <v>0</v>
      </c>
      <c r="AM68" s="24" t="str">
        <f>IF(Input!O128="Tier 4",($B$55-AM65-AM66-AM67),IF(Input!O128="Tier 5",IF(('Residential Bills_Yr 1_avg'!$B$55-'Residential Bills_Yr 1_avg'!AM65-'Residential Bills_Yr 1_avg'!AM66-'Residential Bills_Yr 1_avg'!AM67)&gt;Input!O133,Input!O133,('Residential Bills_Yr 1_avg'!$B$55-'Residential Bills_Yr 1_avg'!AM65-'Residential Bills_Yr 1_avg'!AM66-'Residential Bills_Yr 1_avg'!AM67))," "))</f>
        <v xml:space="preserve"> </v>
      </c>
      <c r="AN68" s="25" t="str">
        <f t="shared" ref="AN68:AN69" si="33">IFERROR(AL68*AM68," ")</f>
        <v xml:space="preserve"> </v>
      </c>
      <c r="AP68" s="23">
        <f>INDEX(Input!$C$21:$AL$25,MATCH('Residential Bills_Yr 1_avg'!$A68,Input!$A$21:$A$25,0),MATCH('Residential Bills_Yr 1_avg'!AP$61,Input!$C$20:$AL$20,0))</f>
        <v>0</v>
      </c>
      <c r="AQ68" s="24" t="str">
        <f>IF(Input!P128="Tier 4",($B$55-AQ65-AQ66-AQ67),IF(Input!P128="Tier 5",IF(('Residential Bills_Yr 1_avg'!$B$55-'Residential Bills_Yr 1_avg'!AQ65-'Residential Bills_Yr 1_avg'!AQ66-'Residential Bills_Yr 1_avg'!AQ67)&gt;Input!P133,Input!P133,('Residential Bills_Yr 1_avg'!$B$55-'Residential Bills_Yr 1_avg'!AQ65-'Residential Bills_Yr 1_avg'!AQ66-'Residential Bills_Yr 1_avg'!AQ67))," "))</f>
        <v xml:space="preserve"> </v>
      </c>
      <c r="AR68" s="25" t="str">
        <f t="shared" ref="AR68:AR69" si="34">IFERROR(AP68*AQ68," ")</f>
        <v xml:space="preserve"> </v>
      </c>
      <c r="AS68" s="30"/>
      <c r="AT68" s="23">
        <f>INDEX(Input!$C$21:$AL$25,MATCH('Residential Bills_Yr 1_avg'!$A68,Input!$A$21:$A$25,0),MATCH('Residential Bills_Yr 1_avg'!AT$61,Input!$C$20:$AL$20,0))</f>
        <v>0</v>
      </c>
      <c r="AU68" s="24" t="str">
        <f>IF(Input!Q128="Tier 4",($B$55-AU65-AU66-AU67),IF(Input!Q128="Tier 5",IF(('Residential Bills_Yr 1_avg'!$B$55-'Residential Bills_Yr 1_avg'!AU65-'Residential Bills_Yr 1_avg'!AU66-'Residential Bills_Yr 1_avg'!AU67)&gt;Input!Q133,Input!Q133,('Residential Bills_Yr 1_avg'!$B$55-'Residential Bills_Yr 1_avg'!AU65-'Residential Bills_Yr 1_avg'!AU66-'Residential Bills_Yr 1_avg'!AU67))," "))</f>
        <v xml:space="preserve"> </v>
      </c>
      <c r="AV68" s="25" t="str">
        <f t="shared" ref="AV68:AV69" si="35">IFERROR(AT68*AU68," ")</f>
        <v xml:space="preserve"> </v>
      </c>
    </row>
    <row r="69" spans="1:48" ht="14.5" customHeight="1" x14ac:dyDescent="0.55000000000000004">
      <c r="A69" t="str">
        <f>A21</f>
        <v>Tier 5</v>
      </c>
      <c r="B69" s="23">
        <f>INDEX(Input!$C$21:$AL$25,MATCH('Residential Bills_Yr 1_avg'!$A69,Input!$A$21:$A$25,0),MATCH('Residential Bills_Yr 1_avg'!B$61,Input!$C$20:$AL$20,0))</f>
        <v>0</v>
      </c>
      <c r="C69" s="24" t="str">
        <f>IF(Input!F128="Tier 5",('Residential Bills_Yr 1_avg'!$B$55-'Residential Bills_Yr 1_avg'!C65-'Residential Bills_Yr 1_avg'!C66-'Residential Bills_Yr 1_avg'!C67-'Residential Bills_Yr 1_avg'!C68)," ")</f>
        <v xml:space="preserve"> </v>
      </c>
      <c r="D69" s="25" t="str">
        <f t="shared" si="24"/>
        <v xml:space="preserve"> </v>
      </c>
      <c r="F69" s="23">
        <f>INDEX(Input!$C$21:$AL$25,MATCH('Residential Bills_Yr 1_avg'!$A69,Input!$A$21:$A$25,0),MATCH('Residential Bills_Yr 1_avg'!F$61,Input!$C$20:$AL$20,0))</f>
        <v>0</v>
      </c>
      <c r="G69" s="24" t="str">
        <f>IF(Input!G128="Tier 5",('Residential Bills_Yr 1_avg'!$B$55-'Residential Bills_Yr 1_avg'!G65-'Residential Bills_Yr 1_avg'!G66-'Residential Bills_Yr 1_avg'!G67-'Residential Bills_Yr 1_avg'!G68)," ")</f>
        <v xml:space="preserve"> </v>
      </c>
      <c r="H69" s="25" t="str">
        <f t="shared" si="25"/>
        <v xml:space="preserve"> </v>
      </c>
      <c r="J69" s="23">
        <f>INDEX(Input!$C$21:$AL$25,MATCH('Residential Bills_Yr 1_avg'!$A69,Input!$A$21:$A$25,0),MATCH('Residential Bills_Yr 1_avg'!J$61,Input!$C$20:$AL$20,0))</f>
        <v>0</v>
      </c>
      <c r="K69" s="24" t="str">
        <f>IF(Input!H128="Tier 5",('Residential Bills_Yr 1_avg'!$B$55-'Residential Bills_Yr 1_avg'!K$17-'Residential Bills_Yr 1_avg'!K$18-'Residential Bills_Yr 1_avg'!K$19-'Residential Bills_Yr 1_avg'!K$20)," ")</f>
        <v xml:space="preserve"> </v>
      </c>
      <c r="L69" s="25" t="str">
        <f t="shared" si="26"/>
        <v xml:space="preserve"> </v>
      </c>
      <c r="N69" s="23">
        <f>INDEX(Input!$C$21:$AL$25,MATCH('Residential Bills_Yr 1_avg'!$A69,Input!$A$21:$A$25,0),MATCH('Residential Bills_Yr 1_avg'!N$61,Input!$C$20:$AL$20,0))</f>
        <v>0</v>
      </c>
      <c r="O69" s="24" t="str">
        <f>IF(Input!I128="Tier 5",('Residential Bills_Yr 1_avg'!$B$55-'Residential Bills_Yr 1_avg'!O$17-'Residential Bills_Yr 1_avg'!O$18-'Residential Bills_Yr 1_avg'!O$19-'Residential Bills_Yr 1_avg'!O$20)," ")</f>
        <v xml:space="preserve"> </v>
      </c>
      <c r="P69" s="25" t="str">
        <f t="shared" si="27"/>
        <v xml:space="preserve"> </v>
      </c>
      <c r="R69" s="23">
        <f>INDEX(Input!$C$21:$AL$25,MATCH('Residential Bills_Yr 1_avg'!$A69,Input!$A$21:$A$25,0),MATCH('Residential Bills_Yr 1_avg'!R$61,Input!$C$20:$AL$20,0))</f>
        <v>0</v>
      </c>
      <c r="S69" s="24" t="str">
        <f>IF(Input!J128="Tier 5",('Residential Bills_Yr 1_avg'!$B$55-'Residential Bills_Yr 1_avg'!S$17-'Residential Bills_Yr 1_avg'!S$18-'Residential Bills_Yr 1_avg'!S$19-'Residential Bills_Yr 1_avg'!S$20)," ")</f>
        <v xml:space="preserve"> </v>
      </c>
      <c r="T69" s="25" t="str">
        <f t="shared" si="28"/>
        <v xml:space="preserve"> </v>
      </c>
      <c r="V69" s="23">
        <f>INDEX(Input!$C$21:$AL$25,MATCH('Residential Bills_Yr 1_avg'!$A69,Input!$A$21:$A$25,0),MATCH('Residential Bills_Yr 1_avg'!V$61,Input!$C$20:$AL$20,0))</f>
        <v>0</v>
      </c>
      <c r="W69" s="24" t="str">
        <f>IF(Input!K128="Tier 5",('Residential Bills_Yr 1_avg'!$B$55-'Residential Bills_Yr 1_avg'!W$17-'Residential Bills_Yr 1_avg'!W$18-'Residential Bills_Yr 1_avg'!W$19-'Residential Bills_Yr 1_avg'!W$20)," ")</f>
        <v xml:space="preserve"> </v>
      </c>
      <c r="X69" s="25" t="str">
        <f t="shared" si="29"/>
        <v xml:space="preserve"> </v>
      </c>
      <c r="Z69" s="23">
        <f>INDEX(Input!$C$21:$AL$25,MATCH('Residential Bills_Yr 1_avg'!$A69,Input!$A$21:$A$25,0),MATCH('Residential Bills_Yr 1_avg'!Z$61,Input!$C$20:$AL$20,0))</f>
        <v>0</v>
      </c>
      <c r="AA69" s="24" t="str">
        <f>IF(Input!L128="Tier 5",('Residential Bills_Yr 1_avg'!$B$55-'Residential Bills_Yr 1_avg'!AA$17-'Residential Bills_Yr 1_avg'!AA$18-'Residential Bills_Yr 1_avg'!AA$19-'Residential Bills_Yr 1_avg'!AA$20)," ")</f>
        <v xml:space="preserve"> </v>
      </c>
      <c r="AB69" s="25" t="str">
        <f t="shared" si="30"/>
        <v xml:space="preserve"> </v>
      </c>
      <c r="AD69" s="23">
        <f>INDEX(Input!$C$21:$AL$25,MATCH('Residential Bills_Yr 1_avg'!$A69,Input!$A$21:$A$25,0),MATCH('Residential Bills_Yr 1_avg'!AD$61,Input!$C$20:$AL$20,0))</f>
        <v>0</v>
      </c>
      <c r="AE69" s="24" t="str">
        <f>IF(Input!M128="Tier 5",('Residential Bills_Yr 1_avg'!$B$55-'Residential Bills_Yr 1_avg'!AE$17-'Residential Bills_Yr 1_avg'!AE$18-'Residential Bills_Yr 1_avg'!AE$19-'Residential Bills_Yr 1_avg'!AE$20)," ")</f>
        <v xml:space="preserve"> </v>
      </c>
      <c r="AF69" s="25" t="str">
        <f t="shared" si="31"/>
        <v xml:space="preserve"> </v>
      </c>
      <c r="AH69" s="23">
        <f>INDEX(Input!$C$21:$AL$25,MATCH('Residential Bills_Yr 1_avg'!$A69,Input!$A$21:$A$25,0),MATCH('Residential Bills_Yr 1_avg'!AH$61,Input!$C$20:$AL$20,0))</f>
        <v>0</v>
      </c>
      <c r="AI69" s="24" t="str">
        <f>IF(Input!N128="Tier 5",('Residential Bills_Yr 1_avg'!$B$55-'Residential Bills_Yr 1_avg'!AI$17-'Residential Bills_Yr 1_avg'!AI$18-'Residential Bills_Yr 1_avg'!AI$19-'Residential Bills_Yr 1_avg'!AI$20)," ")</f>
        <v xml:space="preserve"> </v>
      </c>
      <c r="AJ69" s="25" t="str">
        <f t="shared" si="32"/>
        <v xml:space="preserve"> </v>
      </c>
      <c r="AL69" s="23">
        <f>INDEX(Input!$C$21:$AL$25,MATCH('Residential Bills_Yr 1_avg'!$A69,Input!$A$21:$A$25,0),MATCH('Residential Bills_Yr 1_avg'!AL$61,Input!$C$20:$AL$20,0))</f>
        <v>0</v>
      </c>
      <c r="AM69" s="24" t="str">
        <f>IF(Input!O128="Tier 5",('Residential Bills_Yr 1_avg'!$B$55-'Residential Bills_Yr 1_avg'!AM$17-'Residential Bills_Yr 1_avg'!AM$18-'Residential Bills_Yr 1_avg'!AM$19-'Residential Bills_Yr 1_avg'!AM$20)," ")</f>
        <v xml:space="preserve"> </v>
      </c>
      <c r="AN69" s="25" t="str">
        <f t="shared" si="33"/>
        <v xml:space="preserve"> </v>
      </c>
      <c r="AP69" s="23">
        <f>INDEX(Input!$C$21:$AL$25,MATCH('Residential Bills_Yr 1_avg'!$A69,Input!$A$21:$A$25,0),MATCH('Residential Bills_Yr 1_avg'!AP$61,Input!$C$20:$AL$20,0))</f>
        <v>0</v>
      </c>
      <c r="AQ69" s="24" t="str">
        <f>IF(Input!P128="Tier 5",('Residential Bills_Yr 1_avg'!$B$55-'Residential Bills_Yr 1_avg'!AQ$17-'Residential Bills_Yr 1_avg'!AQ$18-'Residential Bills_Yr 1_avg'!AQ$19-'Residential Bills_Yr 1_avg'!AQ$20)," ")</f>
        <v xml:space="preserve"> </v>
      </c>
      <c r="AR69" s="25" t="str">
        <f t="shared" si="34"/>
        <v xml:space="preserve"> </v>
      </c>
      <c r="AS69" s="30"/>
      <c r="AT69" s="23">
        <f>INDEX(Input!$C$21:$AL$25,MATCH('Residential Bills_Yr 1_avg'!$A69,Input!$A$21:$A$25,0),MATCH('Residential Bills_Yr 1_avg'!AT$61,Input!$C$20:$AL$20,0))</f>
        <v>0</v>
      </c>
      <c r="AU69" s="24" t="str">
        <f>IF(Input!Q128="Tier 5",('Residential Bills_Yr 1_avg'!$B$55-'Residential Bills_Yr 1_avg'!AU$17-'Residential Bills_Yr 1_avg'!AU$18-'Residential Bills_Yr 1_avg'!AU$19-'Residential Bills_Yr 1_avg'!AU$20)," ")</f>
        <v xml:space="preserve"> </v>
      </c>
      <c r="AV69" s="25" t="str">
        <f t="shared" si="35"/>
        <v xml:space="preserve"> </v>
      </c>
    </row>
    <row r="70" spans="1:48" x14ac:dyDescent="0.55000000000000004">
      <c r="A70" t="s">
        <v>39</v>
      </c>
      <c r="B70" s="16"/>
      <c r="C70" s="24">
        <f>SUM(C65:C69)</f>
        <v>11</v>
      </c>
      <c r="D70" s="26">
        <f>SUM(D65:D69)+D62</f>
        <v>91.46</v>
      </c>
      <c r="F70" s="16"/>
      <c r="G70" s="24">
        <f>SUM(G65:G69)</f>
        <v>11</v>
      </c>
      <c r="H70" s="26">
        <f>SUM(H65:H69)+H62</f>
        <v>91.46</v>
      </c>
      <c r="J70" s="16"/>
      <c r="K70" s="24">
        <f>SUM(K65:K69)</f>
        <v>11</v>
      </c>
      <c r="L70" s="26">
        <f>SUM(L65:L69)+L62</f>
        <v>91.46</v>
      </c>
      <c r="N70" s="16"/>
      <c r="O70" s="24">
        <f>SUM(O65:O69)</f>
        <v>11</v>
      </c>
      <c r="P70" s="26">
        <f>SUM(P65:P69)+P62</f>
        <v>91.46</v>
      </c>
      <c r="R70" s="16"/>
      <c r="S70" s="24">
        <f>SUM(S65:S69)</f>
        <v>11</v>
      </c>
      <c r="T70" s="26">
        <f>SUM(T65:T69)+T62</f>
        <v>91.46</v>
      </c>
      <c r="V70" s="16"/>
      <c r="W70" s="24">
        <f>SUM(W65:W69)</f>
        <v>11</v>
      </c>
      <c r="X70" s="26">
        <f>SUM(X65:X69)+X62</f>
        <v>91.46</v>
      </c>
      <c r="Z70" s="16"/>
      <c r="AA70" s="24">
        <f>SUM(AA65:AA69)</f>
        <v>11</v>
      </c>
      <c r="AB70" s="26">
        <f>SUM(AB65:AB69)+AB62</f>
        <v>97.15</v>
      </c>
      <c r="AD70" s="16"/>
      <c r="AE70" s="24">
        <f>SUM(AE65:AE69)</f>
        <v>11</v>
      </c>
      <c r="AF70" s="26">
        <f>SUM(AF65:AF69)+AF62</f>
        <v>97.15</v>
      </c>
      <c r="AH70" s="16"/>
      <c r="AI70" s="24">
        <f>SUM(AI65:AI69)</f>
        <v>11</v>
      </c>
      <c r="AJ70" s="26">
        <f>SUM(AJ65:AJ69)+AJ62</f>
        <v>97.15</v>
      </c>
      <c r="AL70" s="16"/>
      <c r="AM70" s="24">
        <f>SUM(AM65:AM69)</f>
        <v>11</v>
      </c>
      <c r="AN70" s="26">
        <f>SUM(AN65:AN69)+AN62</f>
        <v>97.15</v>
      </c>
      <c r="AP70" s="16"/>
      <c r="AQ70" s="24">
        <f>SUM(AQ65:AQ69)</f>
        <v>11</v>
      </c>
      <c r="AR70" s="26">
        <f>SUM(AR65:AR69)+AR62</f>
        <v>103.47</v>
      </c>
      <c r="AS70" s="64"/>
      <c r="AT70" s="16"/>
      <c r="AU70" s="24">
        <f>SUM(AU65:AU69)</f>
        <v>11</v>
      </c>
      <c r="AV70" s="26">
        <f>SUM(AV65:AV69)+AV62</f>
        <v>103.47</v>
      </c>
    </row>
    <row r="71" spans="1:48" x14ac:dyDescent="0.55000000000000004">
      <c r="B71" s="16"/>
      <c r="C71" s="17"/>
      <c r="D71" s="19"/>
      <c r="F71" s="16"/>
      <c r="G71" s="17"/>
      <c r="H71" s="19"/>
      <c r="J71" s="16"/>
      <c r="K71" s="17"/>
      <c r="L71" s="19"/>
      <c r="N71" s="16"/>
      <c r="O71" s="17"/>
      <c r="P71" s="19"/>
      <c r="R71" s="16"/>
      <c r="S71" s="17"/>
      <c r="T71" s="19"/>
      <c r="V71" s="16"/>
      <c r="W71" s="17"/>
      <c r="X71" s="19"/>
      <c r="Z71" s="16"/>
      <c r="AA71" s="17"/>
      <c r="AB71" s="19"/>
      <c r="AD71" s="16"/>
      <c r="AE71" s="17"/>
      <c r="AF71" s="19"/>
      <c r="AH71" s="16"/>
      <c r="AI71" s="17"/>
      <c r="AJ71" s="19"/>
      <c r="AL71" s="16"/>
      <c r="AM71" s="17"/>
      <c r="AN71" s="19"/>
      <c r="AP71" s="16"/>
      <c r="AQ71" s="17"/>
      <c r="AR71" s="19"/>
      <c r="AS71" s="17"/>
      <c r="AT71" s="16"/>
      <c r="AU71" s="17"/>
      <c r="AV71" s="19"/>
    </row>
    <row r="72" spans="1:48" x14ac:dyDescent="0.55000000000000004">
      <c r="A72" s="1" t="s">
        <v>34</v>
      </c>
      <c r="B72" s="20" t="s">
        <v>29</v>
      </c>
      <c r="C72" s="21" t="s">
        <v>44</v>
      </c>
      <c r="D72" s="22" t="s">
        <v>30</v>
      </c>
      <c r="F72" s="20" t="s">
        <v>29</v>
      </c>
      <c r="G72" s="21" t="s">
        <v>44</v>
      </c>
      <c r="H72" s="111" t="s">
        <v>30</v>
      </c>
      <c r="J72" s="20" t="s">
        <v>29</v>
      </c>
      <c r="K72" s="21" t="s">
        <v>44</v>
      </c>
      <c r="L72" s="111" t="s">
        <v>30</v>
      </c>
      <c r="N72" s="20" t="s">
        <v>29</v>
      </c>
      <c r="O72" s="21" t="s">
        <v>44</v>
      </c>
      <c r="P72" s="111" t="s">
        <v>30</v>
      </c>
      <c r="R72" s="20" t="s">
        <v>29</v>
      </c>
      <c r="S72" s="21" t="s">
        <v>44</v>
      </c>
      <c r="T72" s="111" t="s">
        <v>30</v>
      </c>
      <c r="V72" s="20" t="s">
        <v>29</v>
      </c>
      <c r="W72" s="21" t="s">
        <v>44</v>
      </c>
      <c r="X72" s="111" t="s">
        <v>30</v>
      </c>
      <c r="Z72" s="20" t="s">
        <v>29</v>
      </c>
      <c r="AA72" s="21" t="s">
        <v>44</v>
      </c>
      <c r="AB72" s="111" t="s">
        <v>30</v>
      </c>
      <c r="AD72" s="20" t="s">
        <v>29</v>
      </c>
      <c r="AE72" s="21" t="s">
        <v>44</v>
      </c>
      <c r="AF72" s="111" t="s">
        <v>30</v>
      </c>
      <c r="AH72" s="20" t="s">
        <v>29</v>
      </c>
      <c r="AI72" s="21" t="s">
        <v>44</v>
      </c>
      <c r="AJ72" s="111" t="s">
        <v>30</v>
      </c>
      <c r="AL72" s="20" t="s">
        <v>29</v>
      </c>
      <c r="AM72" s="21" t="s">
        <v>44</v>
      </c>
      <c r="AN72" s="111" t="s">
        <v>30</v>
      </c>
      <c r="AP72" s="20" t="s">
        <v>29</v>
      </c>
      <c r="AQ72" s="21" t="s">
        <v>44</v>
      </c>
      <c r="AR72" s="111" t="s">
        <v>30</v>
      </c>
      <c r="AS72" s="170"/>
      <c r="AT72" s="20" t="s">
        <v>29</v>
      </c>
      <c r="AU72" s="21" t="s">
        <v>44</v>
      </c>
      <c r="AV72" s="111" t="s">
        <v>30</v>
      </c>
    </row>
    <row r="73" spans="1:48" s="44" customFormat="1" x14ac:dyDescent="0.55000000000000004">
      <c r="A73" s="44" t="str">
        <f t="shared" ref="A73:A85" si="36">A25</f>
        <v>SRF 1</v>
      </c>
      <c r="B73" s="173">
        <f>INDEX(Input!$C$62:$AM$74,MATCH($A73,Input!$A$62:$A$74,0),MATCH(B$61,Input!$C$61:$AM$61,0))</f>
        <v>0.04</v>
      </c>
      <c r="C73" s="31" t="str">
        <f>IF(VLOOKUP($A73,Input!$A$62:$B$74,2,FALSE)="Percentage",D$70,IF(VLOOKUP($A73,Input!$A$62:$B$74,2,FALSE)="Fixed","Fixed",(C$70)))</f>
        <v>Fixed</v>
      </c>
      <c r="D73" s="25">
        <f t="shared" ref="D73:D85" si="37">ROUND(IF(C73="Fixed",B73,(B73*C73)),2)</f>
        <v>0.04</v>
      </c>
      <c r="F73" s="173">
        <f>INDEX(Input!$C$62:$AM$74,MATCH($A73,Input!$A$62:$A$74,0),MATCH(F$61,Input!$C$61:$AM$61,0))</f>
        <v>0.04</v>
      </c>
      <c r="G73" s="31" t="str">
        <f>IF(VLOOKUP($A73,Input!$A$62:$B$74,2,FALSE)="Percentage",H$70,IF(VLOOKUP($A73,Input!$A$62:$B$74,2,FALSE)="Fixed","Fixed",(G$70)))</f>
        <v>Fixed</v>
      </c>
      <c r="H73" s="25">
        <f t="shared" ref="H73:H85" si="38">ROUND(IF(G73="Fixed",F73,(F73*G73)),2)</f>
        <v>0.04</v>
      </c>
      <c r="J73" s="173">
        <f>INDEX(Input!$C$62:$AM$74,MATCH($A73,Input!$A$62:$A$74,0),MATCH(J$61,Input!$C$61:$AM$61,0))</f>
        <v>0.04</v>
      </c>
      <c r="K73" s="31" t="str">
        <f>IF(VLOOKUP($A73,Input!$A$62:$B$74,2,FALSE)="Percentage",L$70,IF(VLOOKUP($A73,Input!$A$62:$B$74,2,FALSE)="Fixed","Fixed",(K$70)))</f>
        <v>Fixed</v>
      </c>
      <c r="L73" s="25">
        <f t="shared" ref="L73:L85" si="39">ROUND(IF(K73="Fixed",J73,(J73*K73)),2)</f>
        <v>0.04</v>
      </c>
      <c r="N73" s="173">
        <f>INDEX(Input!$C$62:$AM$74,MATCH($A73,Input!$A$62:$A$74,0),MATCH(N$61,Input!$C$61:$AM$61,0))</f>
        <v>0.04</v>
      </c>
      <c r="O73" s="31" t="str">
        <f>IF(VLOOKUP($A73,Input!$A$62:$B$74,2,FALSE)="Percentage",P$70,IF(VLOOKUP($A73,Input!$A$62:$B$74,2,FALSE)="Fixed","Fixed",(O$70)))</f>
        <v>Fixed</v>
      </c>
      <c r="P73" s="25">
        <f t="shared" ref="P73:P85" si="40">ROUND(IF(O73="Fixed",N73,(N73*O73)),2)</f>
        <v>0.04</v>
      </c>
      <c r="R73" s="173">
        <f>INDEX(Input!$C$62:$AM$74,MATCH($A73,Input!$A$62:$A$74,0),MATCH(R$61,Input!$C$61:$AM$61,0))</f>
        <v>0.04</v>
      </c>
      <c r="S73" s="31" t="str">
        <f>IF(VLOOKUP($A73,Input!$A$62:$B$74,2,FALSE)="Percentage",T$70,IF(VLOOKUP($A73,Input!$A$62:$B$74,2,FALSE)="Fixed","Fixed",(S$70)))</f>
        <v>Fixed</v>
      </c>
      <c r="T73" s="25">
        <f t="shared" ref="T73:T85" si="41">ROUND(IF(S73="Fixed",R73,(R73*S73)),2)</f>
        <v>0.04</v>
      </c>
      <c r="V73" s="173">
        <f>INDEX(Input!$C$62:$AM$74,MATCH($A73,Input!$A$62:$A$74,0),MATCH(V$61,Input!$C$61:$AM$61,0))</f>
        <v>0.04</v>
      </c>
      <c r="W73" s="31" t="str">
        <f>IF(VLOOKUP($A73,Input!$A$62:$B$74,2,FALSE)="Percentage",X$70,IF(VLOOKUP($A73,Input!$A$62:$B$74,2,FALSE)="Fixed","Fixed",(W$70)))</f>
        <v>Fixed</v>
      </c>
      <c r="X73" s="25">
        <f t="shared" ref="X73:X85" si="42">ROUND(IF(W73="Fixed",V73,(V73*W73)),2)</f>
        <v>0.04</v>
      </c>
      <c r="Z73" s="173">
        <f>INDEX(Input!$C$62:$AM$74,MATCH($A73,Input!$A$62:$A$74,0),MATCH(Z$61,Input!$C$61:$AM$61,0))</f>
        <v>0.04</v>
      </c>
      <c r="AA73" s="31" t="str">
        <f>IF(VLOOKUP($A73,Input!$A$62:$B$74,2,FALSE)="Percentage",AB$70,IF(VLOOKUP($A73,Input!$A$62:$B$74,2,FALSE)="Fixed","Fixed",(AA$70)))</f>
        <v>Fixed</v>
      </c>
      <c r="AB73" s="25">
        <f t="shared" ref="AB73:AB85" si="43">ROUND(IF(AA73="Fixed",Z73,(Z73*AA73)),2)</f>
        <v>0.04</v>
      </c>
      <c r="AD73" s="173">
        <f>INDEX(Input!$C$62:$AM$74,MATCH($A73,Input!$A$62:$A$74,0),MATCH(AD$61,Input!$C$61:$AM$61,0))</f>
        <v>0.04</v>
      </c>
      <c r="AE73" s="31" t="str">
        <f>IF(VLOOKUP($A73,Input!$A$62:$B$74,2,FALSE)="Percentage",AF$70,IF(VLOOKUP($A73,Input!$A$62:$B$74,2,FALSE)="Fixed","Fixed",(AE$70)))</f>
        <v>Fixed</v>
      </c>
      <c r="AF73" s="25">
        <f t="shared" ref="AF73:AF85" si="44">ROUND(IF(AE73="Fixed",AD73,(AD73*AE73)),2)</f>
        <v>0.04</v>
      </c>
      <c r="AH73" s="173">
        <f>INDEX(Input!$C$62:$AM$74,MATCH($A73,Input!$A$62:$A$74,0),MATCH(AH$61,Input!$C$61:$AM$61,0))</f>
        <v>0.04</v>
      </c>
      <c r="AI73" s="31" t="str">
        <f>IF(VLOOKUP($A73,Input!$A$62:$B$74,2,FALSE)="Percentage",AJ$70,IF(VLOOKUP($A73,Input!$A$62:$B$74,2,FALSE)="Fixed","Fixed",(AI$70)))</f>
        <v>Fixed</v>
      </c>
      <c r="AJ73" s="25">
        <f t="shared" ref="AJ73:AJ85" si="45">ROUND(IF(AI73="Fixed",AH73,(AH73*AI73)),2)</f>
        <v>0.04</v>
      </c>
      <c r="AL73" s="173">
        <f>INDEX(Input!$C$62:$AM$74,MATCH($A73,Input!$A$62:$A$74,0),MATCH(AL$61,Input!$C$61:$AM$61,0))</f>
        <v>0.04</v>
      </c>
      <c r="AM73" s="31" t="str">
        <f>IF(VLOOKUP($A73,Input!$A$62:$B$74,2,FALSE)="Percentage",AN$70,IF(VLOOKUP($A73,Input!$A$62:$B$74,2,FALSE)="Fixed","Fixed",(AM$70)))</f>
        <v>Fixed</v>
      </c>
      <c r="AN73" s="25">
        <f t="shared" ref="AN73:AN85" si="46">ROUND(IF(AM73="Fixed",AL73,(AL73*AM73)),2)</f>
        <v>0.04</v>
      </c>
      <c r="AP73" s="173">
        <f>INDEX(Input!$C$62:$AM$74,MATCH($A73,Input!$A$62:$A$74,0),MATCH(AP$61,Input!$C$61:$AM$61,0))</f>
        <v>0.04</v>
      </c>
      <c r="AQ73" s="31" t="str">
        <f>IF(VLOOKUP($A73,Input!$A$62:$B$74,2,FALSE)="Percentage",AR$70,IF(VLOOKUP($A73,Input!$A$62:$B$74,2,FALSE)="Fixed","Fixed",(AQ$70)))</f>
        <v>Fixed</v>
      </c>
      <c r="AR73" s="25">
        <f t="shared" ref="AR73:AR85" si="47">ROUND(IF(AQ73="Fixed",AP73,(AP73*AQ73)),2)</f>
        <v>0.04</v>
      </c>
      <c r="AS73" s="30"/>
      <c r="AT73" s="173">
        <f>INDEX(Input!$C$62:$AM$74,MATCH($A73,Input!$A$62:$A$74,0),MATCH(AT$61,Input!$C$61:$AM$61,0))</f>
        <v>0.04</v>
      </c>
      <c r="AU73" s="31" t="str">
        <f>IF(VLOOKUP($A73,Input!$A$62:$B$74,2,FALSE)="Percentage",AV$70,IF(VLOOKUP($A73,Input!$A$62:$B$74,2,FALSE)="Fixed","Fixed",(AU$70)))</f>
        <v>Fixed</v>
      </c>
      <c r="AV73" s="25">
        <f t="shared" ref="AV73:AV85" si="48">ROUND(IF(AU73="Fixed",AT73,(AT73*AU73)),2)</f>
        <v>0.04</v>
      </c>
    </row>
    <row r="74" spans="1:48" x14ac:dyDescent="0.55000000000000004">
      <c r="A74" t="str">
        <f t="shared" si="36"/>
        <v>SRF 2</v>
      </c>
      <c r="B74" s="173">
        <f>INDEX(Input!$C$62:$AM$74,MATCH($A74,Input!$A$62:$A$74,0),MATCH(B$61,Input!$C$61:$AM$61,0))</f>
        <v>0.02</v>
      </c>
      <c r="C74" s="31" t="str">
        <f>IF(VLOOKUP($A74,Input!$A$62:$B$74,2,FALSE)="Percentage",D$70,IF(VLOOKUP($A74,Input!$A$62:$B$74,2,FALSE)="Fixed","Fixed",(C$70)))</f>
        <v>Fixed</v>
      </c>
      <c r="D74" s="25">
        <f t="shared" si="37"/>
        <v>0.02</v>
      </c>
      <c r="F74" s="173">
        <f>INDEX(Input!$C$62:$AM$74,MATCH($A74,Input!$A$62:$A$74,0),MATCH(F$61,Input!$C$61:$AM$61,0))</f>
        <v>0.02</v>
      </c>
      <c r="G74" s="31" t="str">
        <f>IF(VLOOKUP($A74,Input!$A$62:$B$74,2,FALSE)="Percentage",H$70,IF(VLOOKUP($A74,Input!$A$62:$B$74,2,FALSE)="Fixed","Fixed",(G$70)))</f>
        <v>Fixed</v>
      </c>
      <c r="H74" s="25">
        <f t="shared" si="38"/>
        <v>0.02</v>
      </c>
      <c r="J74" s="173">
        <f>INDEX(Input!$C$62:$AM$74,MATCH($A74,Input!$A$62:$A$74,0),MATCH(J$61,Input!$C$61:$AM$61,0))</f>
        <v>0.02</v>
      </c>
      <c r="K74" s="31" t="str">
        <f>IF(VLOOKUP($A74,Input!$A$62:$B$74,2,FALSE)="Percentage",L$70,IF(VLOOKUP($A74,Input!$A$62:$B$74,2,FALSE)="Fixed","Fixed",(K$70)))</f>
        <v>Fixed</v>
      </c>
      <c r="L74" s="25">
        <f t="shared" si="39"/>
        <v>0.02</v>
      </c>
      <c r="N74" s="173">
        <f>INDEX(Input!$C$62:$AM$74,MATCH($A74,Input!$A$62:$A$74,0),MATCH(N$61,Input!$C$61:$AM$61,0))</f>
        <v>0.02</v>
      </c>
      <c r="O74" s="31" t="str">
        <f>IF(VLOOKUP($A74,Input!$A$62:$B$74,2,FALSE)="Percentage",P$70,IF(VLOOKUP($A74,Input!$A$62:$B$74,2,FALSE)="Fixed","Fixed",(O$70)))</f>
        <v>Fixed</v>
      </c>
      <c r="P74" s="25">
        <f t="shared" si="40"/>
        <v>0.02</v>
      </c>
      <c r="R74" s="173">
        <f>INDEX(Input!$C$62:$AM$74,MATCH($A74,Input!$A$62:$A$74,0),MATCH(R$61,Input!$C$61:$AM$61,0))</f>
        <v>0.02</v>
      </c>
      <c r="S74" s="31" t="str">
        <f>IF(VLOOKUP($A74,Input!$A$62:$B$74,2,FALSE)="Percentage",T$70,IF(VLOOKUP($A74,Input!$A$62:$B$74,2,FALSE)="Fixed","Fixed",(S$70)))</f>
        <v>Fixed</v>
      </c>
      <c r="T74" s="25">
        <f t="shared" si="41"/>
        <v>0.02</v>
      </c>
      <c r="V74" s="173">
        <f>INDEX(Input!$C$62:$AM$74,MATCH($A74,Input!$A$62:$A$74,0),MATCH(V$61,Input!$C$61:$AM$61,0))</f>
        <v>0.02</v>
      </c>
      <c r="W74" s="31" t="str">
        <f>IF(VLOOKUP($A74,Input!$A$62:$B$74,2,FALSE)="Percentage",X$70,IF(VLOOKUP($A74,Input!$A$62:$B$74,2,FALSE)="Fixed","Fixed",(W$70)))</f>
        <v>Fixed</v>
      </c>
      <c r="X74" s="25">
        <f t="shared" si="42"/>
        <v>0.02</v>
      </c>
      <c r="Z74" s="173">
        <f>INDEX(Input!$C$62:$AM$74,MATCH($A74,Input!$A$62:$A$74,0),MATCH(Z$61,Input!$C$61:$AM$61,0))</f>
        <v>0.02</v>
      </c>
      <c r="AA74" s="31" t="str">
        <f>IF(VLOOKUP($A74,Input!$A$62:$B$74,2,FALSE)="Percentage",AB$70,IF(VLOOKUP($A74,Input!$A$62:$B$74,2,FALSE)="Fixed","Fixed",(AA$70)))</f>
        <v>Fixed</v>
      </c>
      <c r="AB74" s="25">
        <f t="shared" si="43"/>
        <v>0.02</v>
      </c>
      <c r="AD74" s="173">
        <f>INDEX(Input!$C$62:$AM$74,MATCH($A74,Input!$A$62:$A$74,0),MATCH(AD$61,Input!$C$61:$AM$61,0))</f>
        <v>0.02</v>
      </c>
      <c r="AE74" s="31" t="str">
        <f>IF(VLOOKUP($A74,Input!$A$62:$B$74,2,FALSE)="Percentage",AF$70,IF(VLOOKUP($A74,Input!$A$62:$B$74,2,FALSE)="Fixed","Fixed",(AE$70)))</f>
        <v>Fixed</v>
      </c>
      <c r="AF74" s="25">
        <f t="shared" si="44"/>
        <v>0.02</v>
      </c>
      <c r="AH74" s="173">
        <f>INDEX(Input!$C$62:$AM$74,MATCH($A74,Input!$A$62:$A$74,0),MATCH(AH$61,Input!$C$61:$AM$61,0))</f>
        <v>0.02</v>
      </c>
      <c r="AI74" s="31" t="str">
        <f>IF(VLOOKUP($A74,Input!$A$62:$B$74,2,FALSE)="Percentage",AJ$70,IF(VLOOKUP($A74,Input!$A$62:$B$74,2,FALSE)="Fixed","Fixed",(AI$70)))</f>
        <v>Fixed</v>
      </c>
      <c r="AJ74" s="25">
        <f t="shared" si="45"/>
        <v>0.02</v>
      </c>
      <c r="AL74" s="173">
        <f>INDEX(Input!$C$62:$AM$74,MATCH($A74,Input!$A$62:$A$74,0),MATCH(AL$61,Input!$C$61:$AM$61,0))</f>
        <v>0.02</v>
      </c>
      <c r="AM74" s="31" t="str">
        <f>IF(VLOOKUP($A74,Input!$A$62:$B$74,2,FALSE)="Percentage",AN$70,IF(VLOOKUP($A74,Input!$A$62:$B$74,2,FALSE)="Fixed","Fixed",(AM$70)))</f>
        <v>Fixed</v>
      </c>
      <c r="AN74" s="25">
        <f t="shared" si="46"/>
        <v>0.02</v>
      </c>
      <c r="AP74" s="173">
        <f>INDEX(Input!$C$62:$AM$74,MATCH($A74,Input!$A$62:$A$74,0),MATCH(AP$61,Input!$C$61:$AM$61,0))</f>
        <v>0.02</v>
      </c>
      <c r="AQ74" s="31" t="str">
        <f>IF(VLOOKUP($A74,Input!$A$62:$B$74,2,FALSE)="Percentage",AR$70,IF(VLOOKUP($A74,Input!$A$62:$B$74,2,FALSE)="Fixed","Fixed",(AQ$70)))</f>
        <v>Fixed</v>
      </c>
      <c r="AR74" s="25">
        <f t="shared" si="47"/>
        <v>0.02</v>
      </c>
      <c r="AS74" s="30"/>
      <c r="AT74" s="173">
        <f>INDEX(Input!$C$62:$AM$74,MATCH($A74,Input!$A$62:$A$74,0),MATCH(AT$61,Input!$C$61:$AM$61,0))</f>
        <v>0.02</v>
      </c>
      <c r="AU74" s="31" t="str">
        <f>IF(VLOOKUP($A74,Input!$A$62:$B$74,2,FALSE)="Percentage",AV$70,IF(VLOOKUP($A74,Input!$A$62:$B$74,2,FALSE)="Fixed","Fixed",(AU$70)))</f>
        <v>Fixed</v>
      </c>
      <c r="AV74" s="25">
        <f t="shared" si="48"/>
        <v>0.02</v>
      </c>
    </row>
    <row r="75" spans="1:48" x14ac:dyDescent="0.55000000000000004">
      <c r="A75" t="str">
        <f>A27</f>
        <v>WRAP</v>
      </c>
      <c r="B75" s="173">
        <f>INDEX(Input!$C$62:$AM$74,MATCH($A75,Input!$A$62:$A$74,0),MATCH(B$61,Input!$C$61:$AM$61,0))</f>
        <v>-0.15</v>
      </c>
      <c r="C75" s="31">
        <f>IF(VLOOKUP($A75,Input!$A$62:$B$74,2,FALSE)="Percentage",D$70+D73+D74+D76,IF(VLOOKUP($A75,Input!$A$62:$B$74,2,FALSE)="Fixed","Fixed",(C$70)))</f>
        <v>91.61999999999999</v>
      </c>
      <c r="D75" s="25">
        <f t="shared" si="37"/>
        <v>-13.74</v>
      </c>
      <c r="F75" s="173">
        <f>INDEX(Input!$C$62:$AM$74,MATCH($A75,Input!$A$62:$A$74,0),MATCH(F$61,Input!$C$61:$AM$61,0))</f>
        <v>-0.15</v>
      </c>
      <c r="G75" s="31">
        <f>IF(VLOOKUP($A75,Input!$A$62:$B$74,2,FALSE)="Percentage",H$70+H73+H74+H76,IF(VLOOKUP($A75,Input!$A$62:$B$74,2,FALSE)="Fixed","Fixed",(G$70)))</f>
        <v>91.61999999999999</v>
      </c>
      <c r="H75" s="25">
        <f t="shared" si="38"/>
        <v>-13.74</v>
      </c>
      <c r="J75" s="173">
        <f>INDEX(Input!$C$62:$AM$74,MATCH($A75,Input!$A$62:$A$74,0),MATCH(J$61,Input!$C$61:$AM$61,0))</f>
        <v>-0.15</v>
      </c>
      <c r="K75" s="31">
        <f>IF(VLOOKUP($A75,Input!$A$62:$B$74,2,FALSE)="Percentage",L$70+L73+L74+L76,IF(VLOOKUP($A75,Input!$A$62:$B$74,2,FALSE)="Fixed","Fixed",(K$70)))</f>
        <v>91.61999999999999</v>
      </c>
      <c r="L75" s="25">
        <f t="shared" si="39"/>
        <v>-13.74</v>
      </c>
      <c r="N75" s="173">
        <f>INDEX(Input!$C$62:$AM$74,MATCH($A75,Input!$A$62:$A$74,0),MATCH(N$61,Input!$C$61:$AM$61,0))</f>
        <v>-0.15</v>
      </c>
      <c r="O75" s="31">
        <f>IF(VLOOKUP($A75,Input!$A$62:$B$74,2,FALSE)="Percentage",P$70+P73+P74+P76,IF(VLOOKUP($A75,Input!$A$62:$B$74,2,FALSE)="Fixed","Fixed",(O$70)))</f>
        <v>91.61999999999999</v>
      </c>
      <c r="P75" s="25">
        <f t="shared" si="40"/>
        <v>-13.74</v>
      </c>
      <c r="R75" s="173">
        <f>INDEX(Input!$C$62:$AM$74,MATCH($A75,Input!$A$62:$A$74,0),MATCH(R$61,Input!$C$61:$AM$61,0))</f>
        <v>-0.15</v>
      </c>
      <c r="S75" s="31">
        <f>IF(VLOOKUP($A75,Input!$A$62:$B$74,2,FALSE)="Percentage",T$70+T73+T74+T76,IF(VLOOKUP($A75,Input!$A$62:$B$74,2,FALSE)="Fixed","Fixed",(S$70)))</f>
        <v>91.61999999999999</v>
      </c>
      <c r="T75" s="25">
        <f t="shared" si="41"/>
        <v>-13.74</v>
      </c>
      <c r="V75" s="173">
        <f>INDEX(Input!$C$62:$AM$74,MATCH($A75,Input!$A$62:$A$74,0),MATCH(V$61,Input!$C$61:$AM$61,0))</f>
        <v>-0.15</v>
      </c>
      <c r="W75" s="31">
        <f>IF(VLOOKUP($A75,Input!$A$62:$B$74,2,FALSE)="Percentage",X$70+X73+X74+X76,IF(VLOOKUP($A75,Input!$A$62:$B$74,2,FALSE)="Fixed","Fixed",(W$70)))</f>
        <v>91.61999999999999</v>
      </c>
      <c r="X75" s="25">
        <f t="shared" si="42"/>
        <v>-13.74</v>
      </c>
      <c r="Z75" s="173">
        <f>INDEX(Input!$C$62:$AM$74,MATCH($A75,Input!$A$62:$A$74,0),MATCH(Z$61,Input!$C$61:$AM$61,0))</f>
        <v>-0.15</v>
      </c>
      <c r="AA75" s="31">
        <f>IF(VLOOKUP($A75,Input!$A$62:$B$74,2,FALSE)="Percentage",AB$70+AB73+AB74+AB76,IF(VLOOKUP($A75,Input!$A$62:$B$74,2,FALSE)="Fixed","Fixed",(AA$70)))</f>
        <v>97.31</v>
      </c>
      <c r="AB75" s="25">
        <f t="shared" si="43"/>
        <v>-14.6</v>
      </c>
      <c r="AD75" s="173">
        <f>INDEX(Input!$C$62:$AM$74,MATCH($A75,Input!$A$62:$A$74,0),MATCH(AD$61,Input!$C$61:$AM$61,0))</f>
        <v>-0.15</v>
      </c>
      <c r="AE75" s="31">
        <f>IF(VLOOKUP($A75,Input!$A$62:$B$74,2,FALSE)="Percentage",AF$70+AF73+AF74+AF76,IF(VLOOKUP($A75,Input!$A$62:$B$74,2,FALSE)="Fixed","Fixed",(AE$70)))</f>
        <v>97.31</v>
      </c>
      <c r="AF75" s="25">
        <f t="shared" si="44"/>
        <v>-14.6</v>
      </c>
      <c r="AH75" s="173">
        <f>INDEX(Input!$C$62:$AM$74,MATCH($A75,Input!$A$62:$A$74,0),MATCH(AH$61,Input!$C$61:$AM$61,0))</f>
        <v>-0.15</v>
      </c>
      <c r="AI75" s="31">
        <f>IF(VLOOKUP($A75,Input!$A$62:$B$74,2,FALSE)="Percentage",AJ$70+AJ73+AJ74+AJ76,IF(VLOOKUP($A75,Input!$A$62:$B$74,2,FALSE)="Fixed","Fixed",(AI$70)))</f>
        <v>97.31</v>
      </c>
      <c r="AJ75" s="25">
        <f t="shared" si="45"/>
        <v>-14.6</v>
      </c>
      <c r="AL75" s="173">
        <f>INDEX(Input!$C$62:$AM$74,MATCH($A75,Input!$A$62:$A$74,0),MATCH(AL$61,Input!$C$61:$AM$61,0))</f>
        <v>-0.15</v>
      </c>
      <c r="AM75" s="31">
        <f>IF(VLOOKUP($A75,Input!$A$62:$B$74,2,FALSE)="Percentage",AN$70+AN73+AN74+AN76,IF(VLOOKUP($A75,Input!$A$62:$B$74,2,FALSE)="Fixed","Fixed",(AM$70)))</f>
        <v>97.31</v>
      </c>
      <c r="AN75" s="25">
        <f t="shared" si="46"/>
        <v>-14.6</v>
      </c>
      <c r="AP75" s="173">
        <f>INDEX(Input!$C$62:$AM$74,MATCH($A75,Input!$A$62:$A$74,0),MATCH(AP$61,Input!$C$61:$AM$61,0))</f>
        <v>-0.15</v>
      </c>
      <c r="AQ75" s="31">
        <f>IF(VLOOKUP($A75,Input!$A$62:$B$74,2,FALSE)="Percentage",AR$70+AR73+AR74+AR76+AR77,IF(VLOOKUP($A75,Input!$A$62:$B$74,2,FALSE)="Fixed","Fixed",(AQ$70)))</f>
        <v>97.97999999999999</v>
      </c>
      <c r="AR75" s="25">
        <f t="shared" si="47"/>
        <v>-14.7</v>
      </c>
      <c r="AS75" s="30"/>
      <c r="AT75" s="173">
        <f>INDEX(Input!$C$62:$AM$74,MATCH($A75,Input!$A$62:$A$74,0),MATCH(AT$61,Input!$C$61:$AM$61,0))</f>
        <v>-0.15</v>
      </c>
      <c r="AU75" s="31">
        <f>IF(VLOOKUP($A75,Input!$A$62:$B$74,2,FALSE)="Percentage",AV$70+AV73+AV74+AV76,IF(VLOOKUP($A75,Input!$A$62:$B$74,2,FALSE)="Fixed","Fixed",(AU$70)))</f>
        <v>103.63</v>
      </c>
      <c r="AV75" s="25">
        <f t="shared" si="48"/>
        <v>-15.54</v>
      </c>
    </row>
    <row r="76" spans="1:48" x14ac:dyDescent="0.55000000000000004">
      <c r="A76" t="str">
        <f t="shared" si="36"/>
        <v>PRVMA</v>
      </c>
      <c r="B76" s="173">
        <f>INDEX(Input!$C$62:$AM$74,MATCH($A76,Input!$A$62:$A$74,0),MATCH(B$61,Input!$C$61:$AM$61,0))</f>
        <v>8.8400000000000006E-3</v>
      </c>
      <c r="C76" s="31">
        <f>IF(VLOOKUP($A76,Input!$A$62:$B$74,2,FALSE)="Percentage",D$70,IF(VLOOKUP($A76,Input!$A$62:$B$74,2,FALSE)="Fixed","Fixed",(C$70)))</f>
        <v>11</v>
      </c>
      <c r="D76" s="25">
        <f t="shared" si="37"/>
        <v>0.1</v>
      </c>
      <c r="F76" s="173">
        <f>INDEX(Input!$C$62:$AM$74,MATCH($A76,Input!$A$62:$A$74,0),MATCH(F$61,Input!$C$61:$AM$61,0))</f>
        <v>8.8400000000000006E-3</v>
      </c>
      <c r="G76" s="31">
        <f>IF(VLOOKUP($A76,Input!$A$62:$B$74,2,FALSE)="Percentage",H$70,IF(VLOOKUP($A76,Input!$A$62:$B$74,2,FALSE)="Fixed","Fixed",(G$70)))</f>
        <v>11</v>
      </c>
      <c r="H76" s="25">
        <f t="shared" si="38"/>
        <v>0.1</v>
      </c>
      <c r="J76" s="173">
        <f>INDEX(Input!$C$62:$AM$74,MATCH($A76,Input!$A$62:$A$74,0),MATCH(J$61,Input!$C$61:$AM$61,0))</f>
        <v>8.8400000000000006E-3</v>
      </c>
      <c r="K76" s="31">
        <f>IF(VLOOKUP($A76,Input!$A$62:$B$74,2,FALSE)="Percentage",L$70,IF(VLOOKUP($A76,Input!$A$62:$B$74,2,FALSE)="Fixed","Fixed",(K$70)))</f>
        <v>11</v>
      </c>
      <c r="L76" s="25">
        <f t="shared" si="39"/>
        <v>0.1</v>
      </c>
      <c r="N76" s="173">
        <f>INDEX(Input!$C$62:$AM$74,MATCH($A76,Input!$A$62:$A$74,0),MATCH(N$61,Input!$C$61:$AM$61,0))</f>
        <v>8.8400000000000006E-3</v>
      </c>
      <c r="O76" s="31">
        <f>IF(VLOOKUP($A76,Input!$A$62:$B$74,2,FALSE)="Percentage",P$70,IF(VLOOKUP($A76,Input!$A$62:$B$74,2,FALSE)="Fixed","Fixed",(O$70)))</f>
        <v>11</v>
      </c>
      <c r="P76" s="25">
        <f t="shared" si="40"/>
        <v>0.1</v>
      </c>
      <c r="R76" s="173">
        <f>INDEX(Input!$C$62:$AM$74,MATCH($A76,Input!$A$62:$A$74,0),MATCH(R$61,Input!$C$61:$AM$61,0))</f>
        <v>8.8400000000000006E-3</v>
      </c>
      <c r="S76" s="31">
        <f>IF(VLOOKUP($A76,Input!$A$62:$B$74,2,FALSE)="Percentage",T$70,IF(VLOOKUP($A76,Input!$A$62:$B$74,2,FALSE)="Fixed","Fixed",(S$70)))</f>
        <v>11</v>
      </c>
      <c r="T76" s="25">
        <f t="shared" si="41"/>
        <v>0.1</v>
      </c>
      <c r="V76" s="173">
        <f>INDEX(Input!$C$62:$AM$74,MATCH($A76,Input!$A$62:$A$74,0),MATCH(V$61,Input!$C$61:$AM$61,0))</f>
        <v>8.8400000000000006E-3</v>
      </c>
      <c r="W76" s="31">
        <f>IF(VLOOKUP($A76,Input!$A$62:$B$74,2,FALSE)="Percentage",X$70,IF(VLOOKUP($A76,Input!$A$62:$B$74,2,FALSE)="Fixed","Fixed",(W$70)))</f>
        <v>11</v>
      </c>
      <c r="X76" s="25">
        <f t="shared" si="42"/>
        <v>0.1</v>
      </c>
      <c r="Z76" s="173">
        <f>INDEX(Input!$C$62:$AM$74,MATCH($A76,Input!$A$62:$A$74,0),MATCH(Z$61,Input!$C$61:$AM$61,0))</f>
        <v>8.8400000000000006E-3</v>
      </c>
      <c r="AA76" s="31">
        <f>IF(VLOOKUP($A76,Input!$A$62:$B$74,2,FALSE)="Percentage",AB$70,IF(VLOOKUP($A76,Input!$A$62:$B$74,2,FALSE)="Fixed","Fixed",(AA$70)))</f>
        <v>11</v>
      </c>
      <c r="AB76" s="25">
        <f t="shared" si="43"/>
        <v>0.1</v>
      </c>
      <c r="AD76" s="173">
        <f>INDEX(Input!$C$62:$AM$74,MATCH($A76,Input!$A$62:$A$74,0),MATCH(AD$61,Input!$C$61:$AM$61,0))</f>
        <v>8.8400000000000006E-3</v>
      </c>
      <c r="AE76" s="31">
        <f>IF(VLOOKUP($A76,Input!$A$62:$B$74,2,FALSE)="Percentage",AF$70,IF(VLOOKUP($A76,Input!$A$62:$B$74,2,FALSE)="Fixed","Fixed",(AE$70)))</f>
        <v>11</v>
      </c>
      <c r="AF76" s="25">
        <f t="shared" si="44"/>
        <v>0.1</v>
      </c>
      <c r="AH76" s="173">
        <f>INDEX(Input!$C$62:$AM$74,MATCH($A76,Input!$A$62:$A$74,0),MATCH(AH$61,Input!$C$61:$AM$61,0))</f>
        <v>8.8400000000000006E-3</v>
      </c>
      <c r="AI76" s="31">
        <f>IF(VLOOKUP($A76,Input!$A$62:$B$74,2,FALSE)="Percentage",AJ$70,IF(VLOOKUP($A76,Input!$A$62:$B$74,2,FALSE)="Fixed","Fixed",(AI$70)))</f>
        <v>11</v>
      </c>
      <c r="AJ76" s="25">
        <f t="shared" si="45"/>
        <v>0.1</v>
      </c>
      <c r="AL76" s="173">
        <f>INDEX(Input!$C$62:$AM$74,MATCH($A76,Input!$A$62:$A$74,0),MATCH(AL$61,Input!$C$61:$AM$61,0))</f>
        <v>8.8400000000000006E-3</v>
      </c>
      <c r="AM76" s="31">
        <f>IF(VLOOKUP($A76,Input!$A$62:$B$74,2,FALSE)="Percentage",AN$70,IF(VLOOKUP($A76,Input!$A$62:$B$74,2,FALSE)="Fixed","Fixed",(AM$70)))</f>
        <v>11</v>
      </c>
      <c r="AN76" s="25">
        <f t="shared" si="46"/>
        <v>0.1</v>
      </c>
      <c r="AP76" s="173">
        <f>INDEX(Input!$C$62:$AM$74,MATCH($A76,Input!$A$62:$A$74,0),MATCH(AP$61,Input!$C$61:$AM$61,0))</f>
        <v>8.8400000000000006E-3</v>
      </c>
      <c r="AQ76" s="31">
        <f>IF(VLOOKUP($A76,Input!$A$62:$B$74,2,FALSE)="Percentage",AR$70,IF(VLOOKUP($A76,Input!$A$62:$B$74,2,FALSE)="Fixed","Fixed",(AQ$70)))</f>
        <v>11</v>
      </c>
      <c r="AR76" s="25">
        <f t="shared" si="47"/>
        <v>0.1</v>
      </c>
      <c r="AS76" s="30"/>
      <c r="AT76" s="173">
        <f>INDEX(Input!$C$62:$AM$74,MATCH($A76,Input!$A$62:$A$74,0),MATCH(AT$61,Input!$C$61:$AM$61,0))</f>
        <v>8.8400000000000006E-3</v>
      </c>
      <c r="AU76" s="31">
        <f>IF(VLOOKUP($A76,Input!$A$62:$B$74,2,FALSE)="Percentage",AV$70,IF(VLOOKUP($A76,Input!$A$62:$B$74,2,FALSE)="Fixed","Fixed",(AU$70)))</f>
        <v>11</v>
      </c>
      <c r="AV76" s="25">
        <f t="shared" si="48"/>
        <v>0.1</v>
      </c>
    </row>
    <row r="77" spans="1:48" x14ac:dyDescent="0.55000000000000004">
      <c r="A77" t="str">
        <f t="shared" si="36"/>
        <v>2022 Surcredit</v>
      </c>
      <c r="B77" s="173">
        <f>INDEX(Input!$C$62:$AM$74,MATCH($A77,Input!$A$62:$A$74,0),MATCH(B$61,Input!$C$61:$AM$61,0))</f>
        <v>0</v>
      </c>
      <c r="C77" s="31" t="str">
        <f>IF(VLOOKUP($A77,Input!$A$62:$B$74,2,FALSE)="Percentage",D$70,IF(VLOOKUP($A77,Input!$A$62:$B$74,2,FALSE)="Fixed","Fixed",(C$70)))</f>
        <v>Fixed</v>
      </c>
      <c r="D77" s="25">
        <f t="shared" si="37"/>
        <v>0</v>
      </c>
      <c r="F77" s="173">
        <f>INDEX(Input!$C$62:$AM$74,MATCH($A77,Input!$A$62:$A$74,0),MATCH(F$61,Input!$C$61:$AM$61,0))</f>
        <v>0</v>
      </c>
      <c r="G77" s="31" t="str">
        <f>IF(VLOOKUP($A77,Input!$A$62:$B$74,2,FALSE)="Percentage",H$70,IF(VLOOKUP($A77,Input!$A$62:$B$74,2,FALSE)="Fixed","Fixed",(G$70)))</f>
        <v>Fixed</v>
      </c>
      <c r="H77" s="25">
        <f t="shared" si="38"/>
        <v>0</v>
      </c>
      <c r="J77" s="173">
        <f>INDEX(Input!$C$62:$AM$74,MATCH($A77,Input!$A$62:$A$74,0),MATCH(J$61,Input!$C$61:$AM$61,0))</f>
        <v>0</v>
      </c>
      <c r="K77" s="31" t="str">
        <f>IF(VLOOKUP($A77,Input!$A$62:$B$74,2,FALSE)="Percentage",L$70,IF(VLOOKUP($A77,Input!$A$62:$B$74,2,FALSE)="Fixed","Fixed",(K$70)))</f>
        <v>Fixed</v>
      </c>
      <c r="L77" s="25">
        <f t="shared" si="39"/>
        <v>0</v>
      </c>
      <c r="N77" s="173">
        <f>INDEX(Input!$C$62:$AM$74,MATCH($A77,Input!$A$62:$A$74,0),MATCH(N$61,Input!$C$61:$AM$61,0))</f>
        <v>0</v>
      </c>
      <c r="O77" s="31" t="str">
        <f>IF(VLOOKUP($A77,Input!$A$62:$B$74,2,FALSE)="Percentage",P$70,IF(VLOOKUP($A77,Input!$A$62:$B$74,2,FALSE)="Fixed","Fixed",(O$70)))</f>
        <v>Fixed</v>
      </c>
      <c r="P77" s="25">
        <f t="shared" si="40"/>
        <v>0</v>
      </c>
      <c r="R77" s="173">
        <f>INDEX(Input!$C$62:$AM$74,MATCH($A77,Input!$A$62:$A$74,0),MATCH(R$61,Input!$C$61:$AM$61,0))</f>
        <v>0</v>
      </c>
      <c r="S77" s="31" t="str">
        <f>IF(VLOOKUP($A77,Input!$A$62:$B$74,2,FALSE)="Percentage",T$70,IF(VLOOKUP($A77,Input!$A$62:$B$74,2,FALSE)="Fixed","Fixed",(S$70)))</f>
        <v>Fixed</v>
      </c>
      <c r="T77" s="25">
        <f t="shared" si="41"/>
        <v>0</v>
      </c>
      <c r="V77" s="173">
        <f>INDEX(Input!$C$62:$AM$74,MATCH($A77,Input!$A$62:$A$74,0),MATCH(V$61,Input!$C$61:$AM$61,0))</f>
        <v>0</v>
      </c>
      <c r="W77" s="31" t="str">
        <f>IF(VLOOKUP($A77,Input!$A$62:$B$74,2,FALSE)="Percentage",X$70,IF(VLOOKUP($A77,Input!$A$62:$B$74,2,FALSE)="Fixed","Fixed",(W$70)))</f>
        <v>Fixed</v>
      </c>
      <c r="X77" s="25">
        <f t="shared" si="42"/>
        <v>0</v>
      </c>
      <c r="Z77" s="173">
        <f>INDEX(Input!$C$62:$AM$74,MATCH($A77,Input!$A$62:$A$74,0),MATCH(Z$61,Input!$C$61:$AM$61,0))</f>
        <v>0</v>
      </c>
      <c r="AA77" s="31" t="str">
        <f>IF(VLOOKUP($A77,Input!$A$62:$B$74,2,FALSE)="Percentage",AB$70,IF(VLOOKUP($A77,Input!$A$62:$B$74,2,FALSE)="Fixed","Fixed",(AA$70)))</f>
        <v>Fixed</v>
      </c>
      <c r="AB77" s="25">
        <f t="shared" si="43"/>
        <v>0</v>
      </c>
      <c r="AD77" s="173">
        <f>INDEX(Input!$C$62:$AM$74,MATCH($A77,Input!$A$62:$A$74,0),MATCH(AD$61,Input!$C$61:$AM$61,0))</f>
        <v>0</v>
      </c>
      <c r="AE77" s="31" t="str">
        <f>IF(VLOOKUP($A77,Input!$A$62:$B$74,2,FALSE)="Percentage",AF$70,IF(VLOOKUP($A77,Input!$A$62:$B$74,2,FALSE)="Fixed","Fixed",(AE$70)))</f>
        <v>Fixed</v>
      </c>
      <c r="AF77" s="25">
        <f t="shared" si="44"/>
        <v>0</v>
      </c>
      <c r="AH77" s="173">
        <f>INDEX(Input!$C$62:$AM$74,MATCH($A77,Input!$A$62:$A$74,0),MATCH(AH$61,Input!$C$61:$AM$61,0))</f>
        <v>0</v>
      </c>
      <c r="AI77" s="31" t="str">
        <f>IF(VLOOKUP($A77,Input!$A$62:$B$74,2,FALSE)="Percentage",AJ$70,IF(VLOOKUP($A77,Input!$A$62:$B$74,2,FALSE)="Fixed","Fixed",(AI$70)))</f>
        <v>Fixed</v>
      </c>
      <c r="AJ77" s="25">
        <f t="shared" si="45"/>
        <v>0</v>
      </c>
      <c r="AL77" s="173">
        <f>INDEX(Input!$C$62:$AM$74,MATCH($A77,Input!$A$62:$A$74,0),MATCH(AL$61,Input!$C$61:$AM$61,0))</f>
        <v>0</v>
      </c>
      <c r="AM77" s="31" t="str">
        <f>IF(VLOOKUP($A77,Input!$A$62:$B$74,2,FALSE)="Percentage",AN$70,IF(VLOOKUP($A77,Input!$A$62:$B$74,2,FALSE)="Fixed","Fixed",(AM$70)))</f>
        <v>Fixed</v>
      </c>
      <c r="AN77" s="25">
        <f t="shared" si="46"/>
        <v>0</v>
      </c>
      <c r="AP77" s="173">
        <f>INDEX(Input!$C$62:$AM$74,MATCH($A77,Input!$A$62:$A$74,0),MATCH(AP$61,Input!$C$61:$AM$61,0))</f>
        <v>-5.65</v>
      </c>
      <c r="AQ77" s="31" t="str">
        <f>IF(VLOOKUP($A77,Input!$A$62:$B$74,2,FALSE)="Percentage",AR$70,IF(VLOOKUP($A77,Input!$A$62:$B$74,2,FALSE)="Fixed","Fixed",(AQ$70)))</f>
        <v>Fixed</v>
      </c>
      <c r="AR77" s="25">
        <f t="shared" si="47"/>
        <v>-5.65</v>
      </c>
      <c r="AS77" s="30"/>
      <c r="AT77" s="173">
        <f>INDEX(Input!$C$62:$AM$74,MATCH($A77,Input!$A$62:$A$74,0),MATCH(AT$61,Input!$C$61:$AM$61,0))</f>
        <v>0</v>
      </c>
      <c r="AU77" s="31" t="str">
        <f>IF(VLOOKUP($A77,Input!$A$62:$B$74,2,FALSE)="Percentage",AV$70,IF(VLOOKUP($A77,Input!$A$62:$B$74,2,FALSE)="Fixed","Fixed",(AU$70)))</f>
        <v>Fixed</v>
      </c>
      <c r="AV77" s="25">
        <f t="shared" si="48"/>
        <v>0</v>
      </c>
    </row>
    <row r="78" spans="1:48" x14ac:dyDescent="0.55000000000000004">
      <c r="A78" t="str">
        <f t="shared" si="36"/>
        <v>Interim Memo Account Surcharge</v>
      </c>
      <c r="B78" s="173">
        <f>INDEX(Input!$C$62:$AM$74,MATCH($A78,Input!$A$62:$A$74,0),MATCH(B$61,Input!$C$61:$AM$61,0))</f>
        <v>0</v>
      </c>
      <c r="C78" s="31">
        <f>IF(VLOOKUP($A78,Input!$A$62:$B$74,2,FALSE)="Percentage",D$70,IF(VLOOKUP($A78,Input!$A$62:$B$74,2,FALSE)="Fixed","Fixed",(C$70)))</f>
        <v>11</v>
      </c>
      <c r="D78" s="25">
        <f t="shared" si="37"/>
        <v>0</v>
      </c>
      <c r="F78" s="173">
        <f>INDEX(Input!$C$62:$AM$74,MATCH($A78,Input!$A$62:$A$74,0),MATCH(F$61,Input!$C$61:$AM$61,0))</f>
        <v>0</v>
      </c>
      <c r="G78" s="31">
        <f>IF(VLOOKUP($A78,Input!$A$62:$B$74,2,FALSE)="Percentage",H$70,IF(VLOOKUP($A78,Input!$A$62:$B$74,2,FALSE)="Fixed","Fixed",(G$70)))</f>
        <v>11</v>
      </c>
      <c r="H78" s="25">
        <f t="shared" si="38"/>
        <v>0</v>
      </c>
      <c r="J78" s="173">
        <f>INDEX(Input!$C$62:$AM$74,MATCH($A78,Input!$A$62:$A$74,0),MATCH(J$61,Input!$C$61:$AM$61,0))</f>
        <v>0</v>
      </c>
      <c r="K78" s="31">
        <f>IF(VLOOKUP($A78,Input!$A$62:$B$74,2,FALSE)="Percentage",L$70,IF(VLOOKUP($A78,Input!$A$62:$B$74,2,FALSE)="Fixed","Fixed",(K$70)))</f>
        <v>11</v>
      </c>
      <c r="L78" s="25">
        <f t="shared" si="39"/>
        <v>0</v>
      </c>
      <c r="N78" s="173">
        <f>INDEX(Input!$C$62:$AM$74,MATCH($A78,Input!$A$62:$A$74,0),MATCH(N$61,Input!$C$61:$AM$61,0))</f>
        <v>0</v>
      </c>
      <c r="O78" s="31">
        <f>IF(VLOOKUP($A78,Input!$A$62:$B$74,2,FALSE)="Percentage",P$70,IF(VLOOKUP($A78,Input!$A$62:$B$74,2,FALSE)="Fixed","Fixed",(O$70)))</f>
        <v>11</v>
      </c>
      <c r="P78" s="25">
        <f t="shared" si="40"/>
        <v>0</v>
      </c>
      <c r="R78" s="173">
        <f>INDEX(Input!$C$62:$AM$74,MATCH($A78,Input!$A$62:$A$74,0),MATCH(R$61,Input!$C$61:$AM$61,0))</f>
        <v>0</v>
      </c>
      <c r="S78" s="31">
        <f>IF(VLOOKUP($A78,Input!$A$62:$B$74,2,FALSE)="Percentage",T$70,IF(VLOOKUP($A78,Input!$A$62:$B$74,2,FALSE)="Fixed","Fixed",(S$70)))</f>
        <v>11</v>
      </c>
      <c r="T78" s="25">
        <f t="shared" si="41"/>
        <v>0</v>
      </c>
      <c r="V78" s="173">
        <f>INDEX(Input!$C$62:$AM$74,MATCH($A78,Input!$A$62:$A$74,0),MATCH(V$61,Input!$C$61:$AM$61,0))</f>
        <v>0</v>
      </c>
      <c r="W78" s="31">
        <f>IF(VLOOKUP($A78,Input!$A$62:$B$74,2,FALSE)="Percentage",X$70,IF(VLOOKUP($A78,Input!$A$62:$B$74,2,FALSE)="Fixed","Fixed",(W$70)))</f>
        <v>11</v>
      </c>
      <c r="X78" s="25">
        <f t="shared" si="42"/>
        <v>0</v>
      </c>
      <c r="Z78" s="173">
        <f>INDEX(Input!$C$62:$AM$74,MATCH($A78,Input!$A$62:$A$74,0),MATCH(Z$61,Input!$C$61:$AM$61,0))</f>
        <v>0</v>
      </c>
      <c r="AA78" s="31">
        <f>IF(VLOOKUP($A78,Input!$A$62:$B$74,2,FALSE)="Percentage",AB$70,IF(VLOOKUP($A78,Input!$A$62:$B$74,2,FALSE)="Fixed","Fixed",(AA$70)))</f>
        <v>11</v>
      </c>
      <c r="AB78" s="25">
        <f t="shared" si="43"/>
        <v>0</v>
      </c>
      <c r="AD78" s="173">
        <f>INDEX(Input!$C$62:$AM$74,MATCH($A78,Input!$A$62:$A$74,0),MATCH(AD$61,Input!$C$61:$AM$61,0))</f>
        <v>0</v>
      </c>
      <c r="AE78" s="31">
        <f>IF(VLOOKUP($A78,Input!$A$62:$B$74,2,FALSE)="Percentage",AF$70,IF(VLOOKUP($A78,Input!$A$62:$B$74,2,FALSE)="Fixed","Fixed",(AE$70)))</f>
        <v>11</v>
      </c>
      <c r="AF78" s="25">
        <f t="shared" si="44"/>
        <v>0</v>
      </c>
      <c r="AH78" s="173">
        <f>INDEX(Input!$C$62:$AM$74,MATCH($A78,Input!$A$62:$A$74,0),MATCH(AH$61,Input!$C$61:$AM$61,0))</f>
        <v>0</v>
      </c>
      <c r="AI78" s="31">
        <f>IF(VLOOKUP($A78,Input!$A$62:$B$74,2,FALSE)="Percentage",AJ$70,IF(VLOOKUP($A78,Input!$A$62:$B$74,2,FALSE)="Fixed","Fixed",(AI$70)))</f>
        <v>11</v>
      </c>
      <c r="AJ78" s="25">
        <f t="shared" si="45"/>
        <v>0</v>
      </c>
      <c r="AL78" s="173">
        <f>INDEX(Input!$C$62:$AM$74,MATCH($A78,Input!$A$62:$A$74,0),MATCH(AL$61,Input!$C$61:$AM$61,0))</f>
        <v>0</v>
      </c>
      <c r="AM78" s="31">
        <f>IF(VLOOKUP($A78,Input!$A$62:$B$74,2,FALSE)="Percentage",AN$70,IF(VLOOKUP($A78,Input!$A$62:$B$74,2,FALSE)="Fixed","Fixed",(AM$70)))</f>
        <v>11</v>
      </c>
      <c r="AN78" s="25">
        <f t="shared" si="46"/>
        <v>0</v>
      </c>
      <c r="AP78" s="173">
        <f>INDEX(Input!$C$62:$AM$74,MATCH($A78,Input!$A$62:$A$74,0),MATCH(AP$61,Input!$C$61:$AM$61,0))</f>
        <v>0</v>
      </c>
      <c r="AQ78" s="31">
        <f>IF(VLOOKUP($A78,Input!$A$62:$B$74,2,FALSE)="Percentage",AR$70,IF(VLOOKUP($A78,Input!$A$62:$B$74,2,FALSE)="Fixed","Fixed",(AQ$70)))</f>
        <v>11</v>
      </c>
      <c r="AR78" s="25">
        <f t="shared" si="47"/>
        <v>0</v>
      </c>
      <c r="AS78" s="30"/>
      <c r="AT78" s="173">
        <f>INDEX(Input!$C$62:$AM$74,MATCH($A78,Input!$A$62:$A$74,0),MATCH(AT$61,Input!$C$61:$AM$61,0))</f>
        <v>0</v>
      </c>
      <c r="AU78" s="31">
        <f>IF(VLOOKUP($A78,Input!$A$62:$B$74,2,FALSE)="Percentage",AV$70,IF(VLOOKUP($A78,Input!$A$62:$B$74,2,FALSE)="Fixed","Fixed",(AU$70)))</f>
        <v>11</v>
      </c>
      <c r="AV78" s="25">
        <f t="shared" si="48"/>
        <v>0</v>
      </c>
    </row>
    <row r="79" spans="1:48" x14ac:dyDescent="0.55000000000000004">
      <c r="A79">
        <f t="shared" si="36"/>
        <v>0</v>
      </c>
      <c r="B79" s="173">
        <f>INDEX(Input!$C$62:$AM$74,MATCH($A79,Input!$A$62:$A$74,0),MATCH(B$61,Input!$C$61:$AM$61,0))</f>
        <v>0</v>
      </c>
      <c r="C79" s="31">
        <f>IF(VLOOKUP($A79,Input!$A$62:$B$74,2,FALSE)="Percentage",D$70,IF(VLOOKUP($A79,Input!$A$62:$B$74,2,FALSE)="Fixed","Fixed",(C$70)))</f>
        <v>11</v>
      </c>
      <c r="D79" s="25">
        <f t="shared" si="37"/>
        <v>0</v>
      </c>
      <c r="F79" s="173">
        <f>INDEX(Input!$C$62:$AM$74,MATCH($A79,Input!$A$62:$A$74,0),MATCH(F$61,Input!$C$61:$AM$61,0))</f>
        <v>0</v>
      </c>
      <c r="G79" s="31">
        <f>IF(VLOOKUP($A79,Input!$A$62:$B$74,2,FALSE)="Percentage",H$70,IF(VLOOKUP($A79,Input!$A$62:$B$74,2,FALSE)="Fixed","Fixed",(G$70)))</f>
        <v>11</v>
      </c>
      <c r="H79" s="25">
        <f t="shared" si="38"/>
        <v>0</v>
      </c>
      <c r="J79" s="173">
        <f>INDEX(Input!$C$62:$AM$74,MATCH($A79,Input!$A$62:$A$74,0),MATCH(J$61,Input!$C$61:$AM$61,0))</f>
        <v>0</v>
      </c>
      <c r="K79" s="31">
        <f>IF(VLOOKUP($A79,Input!$A$62:$B$74,2,FALSE)="Percentage",L$70,IF(VLOOKUP($A79,Input!$A$62:$B$74,2,FALSE)="Fixed","Fixed",(K$70)))</f>
        <v>11</v>
      </c>
      <c r="L79" s="25">
        <f t="shared" si="39"/>
        <v>0</v>
      </c>
      <c r="N79" s="173">
        <f>INDEX(Input!$C$62:$AM$74,MATCH($A79,Input!$A$62:$A$74,0),MATCH(N$61,Input!$C$61:$AM$61,0))</f>
        <v>0</v>
      </c>
      <c r="O79" s="31">
        <f>IF(VLOOKUP($A79,Input!$A$62:$B$74,2,FALSE)="Percentage",P$70,IF(VLOOKUP($A79,Input!$A$62:$B$74,2,FALSE)="Fixed","Fixed",(O$70)))</f>
        <v>11</v>
      </c>
      <c r="P79" s="25">
        <f t="shared" si="40"/>
        <v>0</v>
      </c>
      <c r="R79" s="173">
        <f>INDEX(Input!$C$62:$AM$74,MATCH($A79,Input!$A$62:$A$74,0),MATCH(R$61,Input!$C$61:$AM$61,0))</f>
        <v>0</v>
      </c>
      <c r="S79" s="31">
        <f>IF(VLOOKUP($A79,Input!$A$62:$B$74,2,FALSE)="Percentage",T$70,IF(VLOOKUP($A79,Input!$A$62:$B$74,2,FALSE)="Fixed","Fixed",(S$70)))</f>
        <v>11</v>
      </c>
      <c r="T79" s="25">
        <f t="shared" si="41"/>
        <v>0</v>
      </c>
      <c r="V79" s="173">
        <f>INDEX(Input!$C$62:$AM$74,MATCH($A79,Input!$A$62:$A$74,0),MATCH(V$61,Input!$C$61:$AM$61,0))</f>
        <v>0</v>
      </c>
      <c r="W79" s="31">
        <f>IF(VLOOKUP($A79,Input!$A$62:$B$74,2,FALSE)="Percentage",X$70,IF(VLOOKUP($A79,Input!$A$62:$B$74,2,FALSE)="Fixed","Fixed",(W$70)))</f>
        <v>11</v>
      </c>
      <c r="X79" s="25">
        <f t="shared" si="42"/>
        <v>0</v>
      </c>
      <c r="Z79" s="173">
        <f>INDEX(Input!$C$62:$AM$74,MATCH($A79,Input!$A$62:$A$74,0),MATCH(Z$61,Input!$C$61:$AM$61,0))</f>
        <v>0</v>
      </c>
      <c r="AA79" s="31">
        <f>IF(VLOOKUP($A79,Input!$A$62:$B$74,2,FALSE)="Percentage",AB$70,IF(VLOOKUP($A79,Input!$A$62:$B$74,2,FALSE)="Fixed","Fixed",(AA$70)))</f>
        <v>11</v>
      </c>
      <c r="AB79" s="25">
        <f t="shared" si="43"/>
        <v>0</v>
      </c>
      <c r="AD79" s="173">
        <f>INDEX(Input!$C$62:$AM$74,MATCH($A79,Input!$A$62:$A$74,0),MATCH(AD$61,Input!$C$61:$AM$61,0))</f>
        <v>0</v>
      </c>
      <c r="AE79" s="31">
        <f>IF(VLOOKUP($A79,Input!$A$62:$B$74,2,FALSE)="Percentage",AF$70,IF(VLOOKUP($A79,Input!$A$62:$B$74,2,FALSE)="Fixed","Fixed",(AE$70)))</f>
        <v>11</v>
      </c>
      <c r="AF79" s="25">
        <f t="shared" si="44"/>
        <v>0</v>
      </c>
      <c r="AH79" s="173">
        <f>INDEX(Input!$C$62:$AM$74,MATCH($A79,Input!$A$62:$A$74,0),MATCH(AH$61,Input!$C$61:$AM$61,0))</f>
        <v>0</v>
      </c>
      <c r="AI79" s="31">
        <f>IF(VLOOKUP($A79,Input!$A$62:$B$74,2,FALSE)="Percentage",AJ$70,IF(VLOOKUP($A79,Input!$A$62:$B$74,2,FALSE)="Fixed","Fixed",(AI$70)))</f>
        <v>11</v>
      </c>
      <c r="AJ79" s="25">
        <f t="shared" si="45"/>
        <v>0</v>
      </c>
      <c r="AL79" s="173">
        <f>INDEX(Input!$C$62:$AM$74,MATCH($A79,Input!$A$62:$A$74,0),MATCH(AL$61,Input!$C$61:$AM$61,0))</f>
        <v>0</v>
      </c>
      <c r="AM79" s="31">
        <f>IF(VLOOKUP($A79,Input!$A$62:$B$74,2,FALSE)="Percentage",AN$70,IF(VLOOKUP($A79,Input!$A$62:$B$74,2,FALSE)="Fixed","Fixed",(AM$70)))</f>
        <v>11</v>
      </c>
      <c r="AN79" s="25">
        <f t="shared" si="46"/>
        <v>0</v>
      </c>
      <c r="AP79" s="173">
        <f>INDEX(Input!$C$62:$AM$74,MATCH($A79,Input!$A$62:$A$74,0),MATCH(AP$61,Input!$C$61:$AM$61,0))</f>
        <v>0</v>
      </c>
      <c r="AQ79" s="31">
        <f>IF(VLOOKUP($A79,Input!$A$62:$B$74,2,FALSE)="Percentage",AR$70,IF(VLOOKUP($A79,Input!$A$62:$B$74,2,FALSE)="Fixed","Fixed",(AQ$70)))</f>
        <v>11</v>
      </c>
      <c r="AR79" s="25">
        <f t="shared" si="47"/>
        <v>0</v>
      </c>
      <c r="AS79" s="30"/>
      <c r="AT79" s="173">
        <f>INDEX(Input!$C$62:$AM$74,MATCH($A79,Input!$A$62:$A$74,0),MATCH(AT$61,Input!$C$61:$AM$61,0))</f>
        <v>0</v>
      </c>
      <c r="AU79" s="31">
        <f>IF(VLOOKUP($A79,Input!$A$62:$B$74,2,FALSE)="Percentage",AV$70,IF(VLOOKUP($A79,Input!$A$62:$B$74,2,FALSE)="Fixed","Fixed",(AU$70)))</f>
        <v>11</v>
      </c>
      <c r="AV79" s="25">
        <f t="shared" si="48"/>
        <v>0</v>
      </c>
    </row>
    <row r="80" spans="1:48" x14ac:dyDescent="0.55000000000000004">
      <c r="A80">
        <f t="shared" si="36"/>
        <v>0</v>
      </c>
      <c r="B80" s="173">
        <f>INDEX(Input!$C$62:$AM$74,MATCH($A80,Input!$A$62:$A$74,0),MATCH(B$61,Input!$C$61:$AM$61,0))</f>
        <v>0</v>
      </c>
      <c r="C80" s="31">
        <f>IF(VLOOKUP($A80,Input!$A$62:$B$74,2,FALSE)="Percentage",D$70,IF(VLOOKUP($A80,Input!$A$62:$B$74,2,FALSE)="Fixed","Fixed",(C$70)))</f>
        <v>11</v>
      </c>
      <c r="D80" s="25">
        <f t="shared" si="37"/>
        <v>0</v>
      </c>
      <c r="F80" s="173">
        <f>INDEX(Input!$C$62:$AM$74,MATCH($A80,Input!$A$62:$A$74,0),MATCH(F$61,Input!$C$61:$AM$61,0))</f>
        <v>0</v>
      </c>
      <c r="G80" s="31">
        <f>IF(VLOOKUP($A80,Input!$A$62:$B$74,2,FALSE)="Percentage",H$70,IF(VLOOKUP($A80,Input!$A$62:$B$74,2,FALSE)="Fixed","Fixed",(G$70)))</f>
        <v>11</v>
      </c>
      <c r="H80" s="25">
        <f t="shared" si="38"/>
        <v>0</v>
      </c>
      <c r="J80" s="173">
        <f>INDEX(Input!$C$62:$AM$74,MATCH($A80,Input!$A$62:$A$74,0),MATCH(J$61,Input!$C$61:$AM$61,0))</f>
        <v>0</v>
      </c>
      <c r="K80" s="31">
        <f>IF(VLOOKUP($A80,Input!$A$62:$B$74,2,FALSE)="Percentage",L$70,IF(VLOOKUP($A80,Input!$A$62:$B$74,2,FALSE)="Fixed","Fixed",(K$70)))</f>
        <v>11</v>
      </c>
      <c r="L80" s="25">
        <f t="shared" si="39"/>
        <v>0</v>
      </c>
      <c r="N80" s="173">
        <f>INDEX(Input!$C$62:$AM$74,MATCH($A80,Input!$A$62:$A$74,0),MATCH(N$61,Input!$C$61:$AM$61,0))</f>
        <v>0</v>
      </c>
      <c r="O80" s="31">
        <f>IF(VLOOKUP($A80,Input!$A$62:$B$74,2,FALSE)="Percentage",P$70,IF(VLOOKUP($A80,Input!$A$62:$B$74,2,FALSE)="Fixed","Fixed",(O$70)))</f>
        <v>11</v>
      </c>
      <c r="P80" s="25">
        <f t="shared" si="40"/>
        <v>0</v>
      </c>
      <c r="R80" s="173">
        <f>INDEX(Input!$C$62:$AM$74,MATCH($A80,Input!$A$62:$A$74,0),MATCH(R$61,Input!$C$61:$AM$61,0))</f>
        <v>0</v>
      </c>
      <c r="S80" s="31">
        <f>IF(VLOOKUP($A80,Input!$A$62:$B$74,2,FALSE)="Percentage",T$70,IF(VLOOKUP($A80,Input!$A$62:$B$74,2,FALSE)="Fixed","Fixed",(S$70)))</f>
        <v>11</v>
      </c>
      <c r="T80" s="25">
        <f t="shared" si="41"/>
        <v>0</v>
      </c>
      <c r="V80" s="173">
        <f>INDEX(Input!$C$62:$AM$74,MATCH($A80,Input!$A$62:$A$74,0),MATCH(V$61,Input!$C$61:$AM$61,0))</f>
        <v>0</v>
      </c>
      <c r="W80" s="31">
        <f>IF(VLOOKUP($A80,Input!$A$62:$B$74,2,FALSE)="Percentage",X$70,IF(VLOOKUP($A80,Input!$A$62:$B$74,2,FALSE)="Fixed","Fixed",(W$70)))</f>
        <v>11</v>
      </c>
      <c r="X80" s="25">
        <f t="shared" si="42"/>
        <v>0</v>
      </c>
      <c r="Z80" s="173">
        <f>INDEX(Input!$C$62:$AM$74,MATCH($A80,Input!$A$62:$A$74,0),MATCH(Z$61,Input!$C$61:$AM$61,0))</f>
        <v>0</v>
      </c>
      <c r="AA80" s="31">
        <f>IF(VLOOKUP($A80,Input!$A$62:$B$74,2,FALSE)="Percentage",AB$70,IF(VLOOKUP($A80,Input!$A$62:$B$74,2,FALSE)="Fixed","Fixed",(AA$70)))</f>
        <v>11</v>
      </c>
      <c r="AB80" s="25">
        <f t="shared" si="43"/>
        <v>0</v>
      </c>
      <c r="AD80" s="173">
        <f>INDEX(Input!$C$62:$AM$74,MATCH($A80,Input!$A$62:$A$74,0),MATCH(AD$61,Input!$C$61:$AM$61,0))</f>
        <v>0</v>
      </c>
      <c r="AE80" s="31">
        <f>IF(VLOOKUP($A80,Input!$A$62:$B$74,2,FALSE)="Percentage",AF$70,IF(VLOOKUP($A80,Input!$A$62:$B$74,2,FALSE)="Fixed","Fixed",(AE$70)))</f>
        <v>11</v>
      </c>
      <c r="AF80" s="25">
        <f t="shared" si="44"/>
        <v>0</v>
      </c>
      <c r="AH80" s="173">
        <f>INDEX(Input!$C$62:$AM$74,MATCH($A80,Input!$A$62:$A$74,0),MATCH(AH$61,Input!$C$61:$AM$61,0))</f>
        <v>0</v>
      </c>
      <c r="AI80" s="31">
        <f>IF(VLOOKUP($A80,Input!$A$62:$B$74,2,FALSE)="Percentage",AJ$70,IF(VLOOKUP($A80,Input!$A$62:$B$74,2,FALSE)="Fixed","Fixed",(AI$70)))</f>
        <v>11</v>
      </c>
      <c r="AJ80" s="25">
        <f t="shared" si="45"/>
        <v>0</v>
      </c>
      <c r="AL80" s="173">
        <f>INDEX(Input!$C$62:$AM$74,MATCH($A80,Input!$A$62:$A$74,0),MATCH(AL$61,Input!$C$61:$AM$61,0))</f>
        <v>0</v>
      </c>
      <c r="AM80" s="31">
        <f>IF(VLOOKUP($A80,Input!$A$62:$B$74,2,FALSE)="Percentage",AN$70,IF(VLOOKUP($A80,Input!$A$62:$B$74,2,FALSE)="Fixed","Fixed",(AM$70)))</f>
        <v>11</v>
      </c>
      <c r="AN80" s="25">
        <f t="shared" si="46"/>
        <v>0</v>
      </c>
      <c r="AP80" s="173">
        <f>INDEX(Input!$C$62:$AM$74,MATCH($A80,Input!$A$62:$A$74,0),MATCH(AP$61,Input!$C$61:$AM$61,0))</f>
        <v>0</v>
      </c>
      <c r="AQ80" s="31">
        <f>IF(VLOOKUP($A80,Input!$A$62:$B$74,2,FALSE)="Percentage",AR$70,IF(VLOOKUP($A80,Input!$A$62:$B$74,2,FALSE)="Fixed","Fixed",(AQ$70)))</f>
        <v>11</v>
      </c>
      <c r="AR80" s="25">
        <f t="shared" si="47"/>
        <v>0</v>
      </c>
      <c r="AS80" s="30"/>
      <c r="AT80" s="173">
        <f>INDEX(Input!$C$62:$AM$74,MATCH($A80,Input!$A$62:$A$74,0),MATCH(AT$61,Input!$C$61:$AM$61,0))</f>
        <v>0</v>
      </c>
      <c r="AU80" s="31">
        <f>IF(VLOOKUP($A80,Input!$A$62:$B$74,2,FALSE)="Percentage",AV$70,IF(VLOOKUP($A80,Input!$A$62:$B$74,2,FALSE)="Fixed","Fixed",(AU$70)))</f>
        <v>11</v>
      </c>
      <c r="AV80" s="25">
        <f t="shared" si="48"/>
        <v>0</v>
      </c>
    </row>
    <row r="81" spans="1:48" x14ac:dyDescent="0.55000000000000004">
      <c r="A81">
        <f t="shared" si="36"/>
        <v>0</v>
      </c>
      <c r="B81" s="173">
        <f>INDEX(Input!$C$62:$AM$74,MATCH($A81,Input!$A$62:$A$74,0),MATCH(B$61,Input!$C$61:$AM$61,0))</f>
        <v>0</v>
      </c>
      <c r="C81" s="31">
        <f>IF(VLOOKUP($A81,Input!$A$62:$B$74,2,FALSE)="Percentage",D$70,IF(VLOOKUP($A81,Input!$A$62:$B$74,2,FALSE)="Fixed","Fixed",(C$70)))</f>
        <v>11</v>
      </c>
      <c r="D81" s="25">
        <f t="shared" si="37"/>
        <v>0</v>
      </c>
      <c r="F81" s="173">
        <f>INDEX(Input!$C$62:$AM$74,MATCH($A81,Input!$A$62:$A$74,0),MATCH(F$61,Input!$C$61:$AM$61,0))</f>
        <v>0</v>
      </c>
      <c r="G81" s="31">
        <f>IF(VLOOKUP($A81,Input!$A$62:$B$74,2,FALSE)="Percentage",H$70,IF(VLOOKUP($A81,Input!$A$62:$B$74,2,FALSE)="Fixed","Fixed",(G$70)))</f>
        <v>11</v>
      </c>
      <c r="H81" s="25">
        <f t="shared" si="38"/>
        <v>0</v>
      </c>
      <c r="J81" s="173">
        <f>INDEX(Input!$C$62:$AM$74,MATCH($A81,Input!$A$62:$A$74,0),MATCH(J$61,Input!$C$61:$AM$61,0))</f>
        <v>0</v>
      </c>
      <c r="K81" s="31">
        <f>IF(VLOOKUP($A81,Input!$A$62:$B$74,2,FALSE)="Percentage",L$70,IF(VLOOKUP($A81,Input!$A$62:$B$74,2,FALSE)="Fixed","Fixed",(K$70)))</f>
        <v>11</v>
      </c>
      <c r="L81" s="25">
        <f t="shared" si="39"/>
        <v>0</v>
      </c>
      <c r="N81" s="173">
        <f>INDEX(Input!$C$62:$AM$74,MATCH($A81,Input!$A$62:$A$74,0),MATCH(N$61,Input!$C$61:$AM$61,0))</f>
        <v>0</v>
      </c>
      <c r="O81" s="31">
        <f>IF(VLOOKUP($A81,Input!$A$62:$B$74,2,FALSE)="Percentage",P$70,IF(VLOOKUP($A81,Input!$A$62:$B$74,2,FALSE)="Fixed","Fixed",(O$70)))</f>
        <v>11</v>
      </c>
      <c r="P81" s="25">
        <f t="shared" si="40"/>
        <v>0</v>
      </c>
      <c r="R81" s="173">
        <f>INDEX(Input!$C$62:$AM$74,MATCH($A81,Input!$A$62:$A$74,0),MATCH(R$61,Input!$C$61:$AM$61,0))</f>
        <v>0</v>
      </c>
      <c r="S81" s="31">
        <f>IF(VLOOKUP($A81,Input!$A$62:$B$74,2,FALSE)="Percentage",T$70,IF(VLOOKUP($A81,Input!$A$62:$B$74,2,FALSE)="Fixed","Fixed",(S$70)))</f>
        <v>11</v>
      </c>
      <c r="T81" s="25">
        <f t="shared" si="41"/>
        <v>0</v>
      </c>
      <c r="V81" s="173">
        <f>INDEX(Input!$C$62:$AM$74,MATCH($A81,Input!$A$62:$A$74,0),MATCH(V$61,Input!$C$61:$AM$61,0))</f>
        <v>0</v>
      </c>
      <c r="W81" s="31">
        <f>IF(VLOOKUP($A81,Input!$A$62:$B$74,2,FALSE)="Percentage",X$70,IF(VLOOKUP($A81,Input!$A$62:$B$74,2,FALSE)="Fixed","Fixed",(W$70)))</f>
        <v>11</v>
      </c>
      <c r="X81" s="25">
        <f t="shared" si="42"/>
        <v>0</v>
      </c>
      <c r="Z81" s="173">
        <f>INDEX(Input!$C$62:$AM$74,MATCH($A81,Input!$A$62:$A$74,0),MATCH(Z$61,Input!$C$61:$AM$61,0))</f>
        <v>0</v>
      </c>
      <c r="AA81" s="31">
        <f>IF(VLOOKUP($A81,Input!$A$62:$B$74,2,FALSE)="Percentage",AB$70,IF(VLOOKUP($A81,Input!$A$62:$B$74,2,FALSE)="Fixed","Fixed",(AA$70)))</f>
        <v>11</v>
      </c>
      <c r="AB81" s="25">
        <f t="shared" si="43"/>
        <v>0</v>
      </c>
      <c r="AD81" s="173">
        <f>INDEX(Input!$C$62:$AM$74,MATCH($A81,Input!$A$62:$A$74,0),MATCH(AD$61,Input!$C$61:$AM$61,0))</f>
        <v>0</v>
      </c>
      <c r="AE81" s="31">
        <f>IF(VLOOKUP($A81,Input!$A$62:$B$74,2,FALSE)="Percentage",AF$70,IF(VLOOKUP($A81,Input!$A$62:$B$74,2,FALSE)="Fixed","Fixed",(AE$70)))</f>
        <v>11</v>
      </c>
      <c r="AF81" s="25">
        <f t="shared" si="44"/>
        <v>0</v>
      </c>
      <c r="AH81" s="173">
        <f>INDEX(Input!$C$62:$AM$74,MATCH($A81,Input!$A$62:$A$74,0),MATCH(AH$61,Input!$C$61:$AM$61,0))</f>
        <v>0</v>
      </c>
      <c r="AI81" s="31">
        <f>IF(VLOOKUP($A81,Input!$A$62:$B$74,2,FALSE)="Percentage",AJ$70,IF(VLOOKUP($A81,Input!$A$62:$B$74,2,FALSE)="Fixed","Fixed",(AI$70)))</f>
        <v>11</v>
      </c>
      <c r="AJ81" s="25">
        <f t="shared" si="45"/>
        <v>0</v>
      </c>
      <c r="AL81" s="173">
        <f>INDEX(Input!$C$62:$AM$74,MATCH($A81,Input!$A$62:$A$74,0),MATCH(AL$61,Input!$C$61:$AM$61,0))</f>
        <v>0</v>
      </c>
      <c r="AM81" s="31">
        <f>IF(VLOOKUP($A81,Input!$A$62:$B$74,2,FALSE)="Percentage",AN$70,IF(VLOOKUP($A81,Input!$A$62:$B$74,2,FALSE)="Fixed","Fixed",(AM$70)))</f>
        <v>11</v>
      </c>
      <c r="AN81" s="25">
        <f t="shared" si="46"/>
        <v>0</v>
      </c>
      <c r="AP81" s="173">
        <f>INDEX(Input!$C$62:$AM$74,MATCH($A81,Input!$A$62:$A$74,0),MATCH(AP$61,Input!$C$61:$AM$61,0))</f>
        <v>0</v>
      </c>
      <c r="AQ81" s="31">
        <f>IF(VLOOKUP($A81,Input!$A$62:$B$74,2,FALSE)="Percentage",AR$70,IF(VLOOKUP($A81,Input!$A$62:$B$74,2,FALSE)="Fixed","Fixed",(AQ$70)))</f>
        <v>11</v>
      </c>
      <c r="AR81" s="25">
        <f t="shared" si="47"/>
        <v>0</v>
      </c>
      <c r="AS81" s="30"/>
      <c r="AT81" s="173">
        <f>INDEX(Input!$C$62:$AM$74,MATCH($A81,Input!$A$62:$A$74,0),MATCH(AT$61,Input!$C$61:$AM$61,0))</f>
        <v>0</v>
      </c>
      <c r="AU81" s="31">
        <f>IF(VLOOKUP($A81,Input!$A$62:$B$74,2,FALSE)="Percentage",AV$70,IF(VLOOKUP($A81,Input!$A$62:$B$74,2,FALSE)="Fixed","Fixed",(AU$70)))</f>
        <v>11</v>
      </c>
      <c r="AV81" s="25">
        <f t="shared" si="48"/>
        <v>0</v>
      </c>
    </row>
    <row r="82" spans="1:48" x14ac:dyDescent="0.55000000000000004">
      <c r="A82">
        <f t="shared" si="36"/>
        <v>0</v>
      </c>
      <c r="B82" s="173">
        <f>INDEX(Input!$C$62:$AM$74,MATCH($A82,Input!$A$62:$A$74,0),MATCH(B$61,Input!$C$61:$AM$61,0))</f>
        <v>0</v>
      </c>
      <c r="C82" s="31">
        <f>IF(VLOOKUP($A82,Input!$A$62:$B$74,2,FALSE)="Percentage",D$70,IF(VLOOKUP($A82,Input!$A$62:$B$74,2,FALSE)="Fixed","Fixed",(C$70)))</f>
        <v>11</v>
      </c>
      <c r="D82" s="25">
        <f t="shared" si="37"/>
        <v>0</v>
      </c>
      <c r="F82" s="173">
        <f>INDEX(Input!$C$62:$AM$74,MATCH($A82,Input!$A$62:$A$74,0),MATCH(F$61,Input!$C$61:$AM$61,0))</f>
        <v>0</v>
      </c>
      <c r="G82" s="31">
        <f>IF(VLOOKUP($A82,Input!$A$62:$B$74,2,FALSE)="Percentage",H$70,IF(VLOOKUP($A82,Input!$A$62:$B$74,2,FALSE)="Fixed","Fixed",(G$70)))</f>
        <v>11</v>
      </c>
      <c r="H82" s="25">
        <f t="shared" si="38"/>
        <v>0</v>
      </c>
      <c r="J82" s="173">
        <f>INDEX(Input!$C$62:$AM$74,MATCH($A82,Input!$A$62:$A$74,0),MATCH(J$61,Input!$C$61:$AM$61,0))</f>
        <v>0</v>
      </c>
      <c r="K82" s="31">
        <f>IF(VLOOKUP($A82,Input!$A$62:$B$74,2,FALSE)="Percentage",L$70,IF(VLOOKUP($A82,Input!$A$62:$B$74,2,FALSE)="Fixed","Fixed",(K$70)))</f>
        <v>11</v>
      </c>
      <c r="L82" s="25">
        <f t="shared" si="39"/>
        <v>0</v>
      </c>
      <c r="N82" s="173">
        <f>INDEX(Input!$C$62:$AM$74,MATCH($A82,Input!$A$62:$A$74,0),MATCH(N$61,Input!$C$61:$AM$61,0))</f>
        <v>0</v>
      </c>
      <c r="O82" s="31">
        <f>IF(VLOOKUP($A82,Input!$A$62:$B$74,2,FALSE)="Percentage",P$70,IF(VLOOKUP($A82,Input!$A$62:$B$74,2,FALSE)="Fixed","Fixed",(O$70)))</f>
        <v>11</v>
      </c>
      <c r="P82" s="25">
        <f t="shared" si="40"/>
        <v>0</v>
      </c>
      <c r="R82" s="173">
        <f>INDEX(Input!$C$62:$AM$74,MATCH($A82,Input!$A$62:$A$74,0),MATCH(R$61,Input!$C$61:$AM$61,0))</f>
        <v>0</v>
      </c>
      <c r="S82" s="31">
        <f>IF(VLOOKUP($A82,Input!$A$62:$B$74,2,FALSE)="Percentage",T$70,IF(VLOOKUP($A82,Input!$A$62:$B$74,2,FALSE)="Fixed","Fixed",(S$70)))</f>
        <v>11</v>
      </c>
      <c r="T82" s="25">
        <f t="shared" si="41"/>
        <v>0</v>
      </c>
      <c r="V82" s="173">
        <f>INDEX(Input!$C$62:$AM$74,MATCH($A82,Input!$A$62:$A$74,0),MATCH(V$61,Input!$C$61:$AM$61,0))</f>
        <v>0</v>
      </c>
      <c r="W82" s="31">
        <f>IF(VLOOKUP($A82,Input!$A$62:$B$74,2,FALSE)="Percentage",X$70,IF(VLOOKUP($A82,Input!$A$62:$B$74,2,FALSE)="Fixed","Fixed",(W$70)))</f>
        <v>11</v>
      </c>
      <c r="X82" s="25">
        <f t="shared" si="42"/>
        <v>0</v>
      </c>
      <c r="Z82" s="173">
        <f>INDEX(Input!$C$62:$AM$74,MATCH($A82,Input!$A$62:$A$74,0),MATCH(Z$61,Input!$C$61:$AM$61,0))</f>
        <v>0</v>
      </c>
      <c r="AA82" s="31">
        <f>IF(VLOOKUP($A82,Input!$A$62:$B$74,2,FALSE)="Percentage",AB$70,IF(VLOOKUP($A82,Input!$A$62:$B$74,2,FALSE)="Fixed","Fixed",(AA$70)))</f>
        <v>11</v>
      </c>
      <c r="AB82" s="25">
        <f t="shared" si="43"/>
        <v>0</v>
      </c>
      <c r="AD82" s="173">
        <f>INDEX(Input!$C$62:$AM$74,MATCH($A82,Input!$A$62:$A$74,0),MATCH(AD$61,Input!$C$61:$AM$61,0))</f>
        <v>0</v>
      </c>
      <c r="AE82" s="31">
        <f>IF(VLOOKUP($A82,Input!$A$62:$B$74,2,FALSE)="Percentage",AF$70,IF(VLOOKUP($A82,Input!$A$62:$B$74,2,FALSE)="Fixed","Fixed",(AE$70)))</f>
        <v>11</v>
      </c>
      <c r="AF82" s="25">
        <f t="shared" si="44"/>
        <v>0</v>
      </c>
      <c r="AH82" s="173">
        <f>INDEX(Input!$C$62:$AM$74,MATCH($A82,Input!$A$62:$A$74,0),MATCH(AH$61,Input!$C$61:$AM$61,0))</f>
        <v>0</v>
      </c>
      <c r="AI82" s="31">
        <f>IF(VLOOKUP($A82,Input!$A$62:$B$74,2,FALSE)="Percentage",AJ$70,IF(VLOOKUP($A82,Input!$A$62:$B$74,2,FALSE)="Fixed","Fixed",(AI$70)))</f>
        <v>11</v>
      </c>
      <c r="AJ82" s="25">
        <f t="shared" si="45"/>
        <v>0</v>
      </c>
      <c r="AL82" s="173">
        <f>INDEX(Input!$C$62:$AM$74,MATCH($A82,Input!$A$62:$A$74,0),MATCH(AL$61,Input!$C$61:$AM$61,0))</f>
        <v>0</v>
      </c>
      <c r="AM82" s="31">
        <f>IF(VLOOKUP($A82,Input!$A$62:$B$74,2,FALSE)="Percentage",AN$70,IF(VLOOKUP($A82,Input!$A$62:$B$74,2,FALSE)="Fixed","Fixed",(AM$70)))</f>
        <v>11</v>
      </c>
      <c r="AN82" s="25">
        <f t="shared" si="46"/>
        <v>0</v>
      </c>
      <c r="AP82" s="173">
        <f>INDEX(Input!$C$62:$AM$74,MATCH($A82,Input!$A$62:$A$74,0),MATCH(AP$61,Input!$C$61:$AM$61,0))</f>
        <v>0</v>
      </c>
      <c r="AQ82" s="31">
        <f>IF(VLOOKUP($A82,Input!$A$62:$B$74,2,FALSE)="Percentage",AR$70,IF(VLOOKUP($A82,Input!$A$62:$B$74,2,FALSE)="Fixed","Fixed",(AQ$70)))</f>
        <v>11</v>
      </c>
      <c r="AR82" s="25">
        <f t="shared" si="47"/>
        <v>0</v>
      </c>
      <c r="AS82" s="30"/>
      <c r="AT82" s="173">
        <f>INDEX(Input!$C$62:$AM$74,MATCH($A82,Input!$A$62:$A$74,0),MATCH(AT$61,Input!$C$61:$AM$61,0))</f>
        <v>0</v>
      </c>
      <c r="AU82" s="31">
        <f>IF(VLOOKUP($A82,Input!$A$62:$B$74,2,FALSE)="Percentage",AV$70,IF(VLOOKUP($A82,Input!$A$62:$B$74,2,FALSE)="Fixed","Fixed",(AU$70)))</f>
        <v>11</v>
      </c>
      <c r="AV82" s="25">
        <f t="shared" si="48"/>
        <v>0</v>
      </c>
    </row>
    <row r="83" spans="1:48" x14ac:dyDescent="0.55000000000000004">
      <c r="A83">
        <f t="shared" si="36"/>
        <v>0</v>
      </c>
      <c r="B83" s="173">
        <f>INDEX(Input!$C$62:$AM$74,MATCH($A83,Input!$A$62:$A$74,0),MATCH(B$61,Input!$C$61:$AM$61,0))</f>
        <v>0</v>
      </c>
      <c r="C83" s="31">
        <f>IF(VLOOKUP($A83,Input!$A$62:$B$74,2,FALSE)="Percentage",D$70,IF(VLOOKUP($A83,Input!$A$62:$B$74,2,FALSE)="Fixed","Fixed",(C$70)))</f>
        <v>11</v>
      </c>
      <c r="D83" s="25">
        <f t="shared" si="37"/>
        <v>0</v>
      </c>
      <c r="F83" s="173">
        <f>INDEX(Input!$C$62:$AM$74,MATCH($A83,Input!$A$62:$A$74,0),MATCH(F$61,Input!$C$61:$AM$61,0))</f>
        <v>0</v>
      </c>
      <c r="G83" s="31">
        <f>IF(VLOOKUP($A83,Input!$A$62:$B$74,2,FALSE)="Percentage",H$70,IF(VLOOKUP($A83,Input!$A$62:$B$74,2,FALSE)="Fixed","Fixed",(G$70)))</f>
        <v>11</v>
      </c>
      <c r="H83" s="25">
        <f t="shared" si="38"/>
        <v>0</v>
      </c>
      <c r="J83" s="173">
        <f>INDEX(Input!$C$62:$AM$74,MATCH($A83,Input!$A$62:$A$74,0),MATCH(J$61,Input!$C$61:$AM$61,0))</f>
        <v>0</v>
      </c>
      <c r="K83" s="31">
        <f>IF(VLOOKUP($A83,Input!$A$62:$B$74,2,FALSE)="Percentage",L$70,IF(VLOOKUP($A83,Input!$A$62:$B$74,2,FALSE)="Fixed","Fixed",(K$70)))</f>
        <v>11</v>
      </c>
      <c r="L83" s="25">
        <f t="shared" si="39"/>
        <v>0</v>
      </c>
      <c r="N83" s="173">
        <f>INDEX(Input!$C$62:$AM$74,MATCH($A83,Input!$A$62:$A$74,0),MATCH(N$61,Input!$C$61:$AM$61,0))</f>
        <v>0</v>
      </c>
      <c r="O83" s="31">
        <f>IF(VLOOKUP($A83,Input!$A$62:$B$74,2,FALSE)="Percentage",P$70,IF(VLOOKUP($A83,Input!$A$62:$B$74,2,FALSE)="Fixed","Fixed",(O$70)))</f>
        <v>11</v>
      </c>
      <c r="P83" s="25">
        <f t="shared" si="40"/>
        <v>0</v>
      </c>
      <c r="R83" s="173">
        <f>INDEX(Input!$C$62:$AM$74,MATCH($A83,Input!$A$62:$A$74,0),MATCH(R$61,Input!$C$61:$AM$61,0))</f>
        <v>0</v>
      </c>
      <c r="S83" s="31">
        <f>IF(VLOOKUP($A83,Input!$A$62:$B$74,2,FALSE)="Percentage",T$70,IF(VLOOKUP($A83,Input!$A$62:$B$74,2,FALSE)="Fixed","Fixed",(S$70)))</f>
        <v>11</v>
      </c>
      <c r="T83" s="25">
        <f t="shared" si="41"/>
        <v>0</v>
      </c>
      <c r="V83" s="173">
        <f>INDEX(Input!$C$62:$AM$74,MATCH($A83,Input!$A$62:$A$74,0),MATCH(V$61,Input!$C$61:$AM$61,0))</f>
        <v>0</v>
      </c>
      <c r="W83" s="31">
        <f>IF(VLOOKUP($A83,Input!$A$62:$B$74,2,FALSE)="Percentage",X$70,IF(VLOOKUP($A83,Input!$A$62:$B$74,2,FALSE)="Fixed","Fixed",(W$70)))</f>
        <v>11</v>
      </c>
      <c r="X83" s="25">
        <f t="shared" si="42"/>
        <v>0</v>
      </c>
      <c r="Z83" s="173">
        <f>INDEX(Input!$C$62:$AM$74,MATCH($A83,Input!$A$62:$A$74,0),MATCH(Z$61,Input!$C$61:$AM$61,0))</f>
        <v>0</v>
      </c>
      <c r="AA83" s="31">
        <f>IF(VLOOKUP($A83,Input!$A$62:$B$74,2,FALSE)="Percentage",AB$70,IF(VLOOKUP($A83,Input!$A$62:$B$74,2,FALSE)="Fixed","Fixed",(AA$70)))</f>
        <v>11</v>
      </c>
      <c r="AB83" s="25">
        <f t="shared" si="43"/>
        <v>0</v>
      </c>
      <c r="AD83" s="173">
        <f>INDEX(Input!$C$62:$AM$74,MATCH($A83,Input!$A$62:$A$74,0),MATCH(AD$61,Input!$C$61:$AM$61,0))</f>
        <v>0</v>
      </c>
      <c r="AE83" s="31">
        <f>IF(VLOOKUP($A83,Input!$A$62:$B$74,2,FALSE)="Percentage",AF$70,IF(VLOOKUP($A83,Input!$A$62:$B$74,2,FALSE)="Fixed","Fixed",(AE$70)))</f>
        <v>11</v>
      </c>
      <c r="AF83" s="25">
        <f t="shared" si="44"/>
        <v>0</v>
      </c>
      <c r="AH83" s="173">
        <f>INDEX(Input!$C$62:$AM$74,MATCH($A83,Input!$A$62:$A$74,0),MATCH(AH$61,Input!$C$61:$AM$61,0))</f>
        <v>0</v>
      </c>
      <c r="AI83" s="31">
        <f>IF(VLOOKUP($A83,Input!$A$62:$B$74,2,FALSE)="Percentage",AJ$70,IF(VLOOKUP($A83,Input!$A$62:$B$74,2,FALSE)="Fixed","Fixed",(AI$70)))</f>
        <v>11</v>
      </c>
      <c r="AJ83" s="25">
        <f t="shared" si="45"/>
        <v>0</v>
      </c>
      <c r="AL83" s="173">
        <f>INDEX(Input!$C$62:$AM$74,MATCH($A83,Input!$A$62:$A$74,0),MATCH(AL$61,Input!$C$61:$AM$61,0))</f>
        <v>0</v>
      </c>
      <c r="AM83" s="31">
        <f>IF(VLOOKUP($A83,Input!$A$62:$B$74,2,FALSE)="Percentage",AN$70,IF(VLOOKUP($A83,Input!$A$62:$B$74,2,FALSE)="Fixed","Fixed",(AM$70)))</f>
        <v>11</v>
      </c>
      <c r="AN83" s="25">
        <f t="shared" si="46"/>
        <v>0</v>
      </c>
      <c r="AP83" s="173">
        <f>INDEX(Input!$C$62:$AM$74,MATCH($A83,Input!$A$62:$A$74,0),MATCH(AP$61,Input!$C$61:$AM$61,0))</f>
        <v>0</v>
      </c>
      <c r="AQ83" s="31">
        <f>IF(VLOOKUP($A83,Input!$A$62:$B$74,2,FALSE)="Percentage",AR$70,IF(VLOOKUP($A83,Input!$A$62:$B$74,2,FALSE)="Fixed","Fixed",(AQ$70)))</f>
        <v>11</v>
      </c>
      <c r="AR83" s="25">
        <f t="shared" si="47"/>
        <v>0</v>
      </c>
      <c r="AS83" s="30"/>
      <c r="AT83" s="173">
        <f>INDEX(Input!$C$62:$AM$74,MATCH($A83,Input!$A$62:$A$74,0),MATCH(AT$61,Input!$C$61:$AM$61,0))</f>
        <v>0</v>
      </c>
      <c r="AU83" s="31">
        <f>IF(VLOOKUP($A83,Input!$A$62:$B$74,2,FALSE)="Percentage",AV$70,IF(VLOOKUP($A83,Input!$A$62:$B$74,2,FALSE)="Fixed","Fixed",(AU$70)))</f>
        <v>11</v>
      </c>
      <c r="AV83" s="25">
        <f t="shared" si="48"/>
        <v>0</v>
      </c>
    </row>
    <row r="84" spans="1:48" x14ac:dyDescent="0.55000000000000004">
      <c r="A84">
        <f t="shared" si="36"/>
        <v>0</v>
      </c>
      <c r="B84" s="173">
        <f>INDEX(Input!$C$62:$AM$74,MATCH($A84,Input!$A$62:$A$74,0),MATCH(B$61,Input!$C$61:$AM$61,0))</f>
        <v>0</v>
      </c>
      <c r="C84" s="31">
        <f>IF(VLOOKUP($A84,Input!$A$62:$B$74,2,FALSE)="Percentage",D$70,IF(VLOOKUP($A84,Input!$A$62:$B$74,2,FALSE)="Fixed","Fixed",(C$70)))</f>
        <v>11</v>
      </c>
      <c r="D84" s="25">
        <f t="shared" si="37"/>
        <v>0</v>
      </c>
      <c r="F84" s="173">
        <f>INDEX(Input!$C$62:$AM$74,MATCH($A84,Input!$A$62:$A$74,0),MATCH(F$61,Input!$C$61:$AM$61,0))</f>
        <v>0</v>
      </c>
      <c r="G84" s="31">
        <f>IF(VLOOKUP($A84,Input!$A$62:$B$74,2,FALSE)="Percentage",H$70,IF(VLOOKUP($A84,Input!$A$62:$B$74,2,FALSE)="Fixed","Fixed",(G$70)))</f>
        <v>11</v>
      </c>
      <c r="H84" s="25">
        <f t="shared" si="38"/>
        <v>0</v>
      </c>
      <c r="J84" s="173">
        <f>INDEX(Input!$C$62:$AM$74,MATCH($A84,Input!$A$62:$A$74,0),MATCH(J$61,Input!$C$61:$AM$61,0))</f>
        <v>0</v>
      </c>
      <c r="K84" s="31">
        <f>IF(VLOOKUP($A84,Input!$A$62:$B$74,2,FALSE)="Percentage",L$70,IF(VLOOKUP($A84,Input!$A$62:$B$74,2,FALSE)="Fixed","Fixed",(K$70)))</f>
        <v>11</v>
      </c>
      <c r="L84" s="25">
        <f t="shared" si="39"/>
        <v>0</v>
      </c>
      <c r="N84" s="173">
        <f>INDEX(Input!$C$62:$AM$74,MATCH($A84,Input!$A$62:$A$74,0),MATCH(N$61,Input!$C$61:$AM$61,0))</f>
        <v>0</v>
      </c>
      <c r="O84" s="31">
        <f>IF(VLOOKUP($A84,Input!$A$62:$B$74,2,FALSE)="Percentage",P$70,IF(VLOOKUP($A84,Input!$A$62:$B$74,2,FALSE)="Fixed","Fixed",(O$70)))</f>
        <v>11</v>
      </c>
      <c r="P84" s="25">
        <f t="shared" si="40"/>
        <v>0</v>
      </c>
      <c r="R84" s="173">
        <f>INDEX(Input!$C$62:$AM$74,MATCH($A84,Input!$A$62:$A$74,0),MATCH(R$61,Input!$C$61:$AM$61,0))</f>
        <v>0</v>
      </c>
      <c r="S84" s="31">
        <f>IF(VLOOKUP($A84,Input!$A$62:$B$74,2,FALSE)="Percentage",T$70,IF(VLOOKUP($A84,Input!$A$62:$B$74,2,FALSE)="Fixed","Fixed",(S$70)))</f>
        <v>11</v>
      </c>
      <c r="T84" s="25">
        <f t="shared" si="41"/>
        <v>0</v>
      </c>
      <c r="V84" s="173">
        <f>INDEX(Input!$C$62:$AM$74,MATCH($A84,Input!$A$62:$A$74,0),MATCH(V$61,Input!$C$61:$AM$61,0))</f>
        <v>0</v>
      </c>
      <c r="W84" s="31">
        <f>IF(VLOOKUP($A84,Input!$A$62:$B$74,2,FALSE)="Percentage",X$70,IF(VLOOKUP($A84,Input!$A$62:$B$74,2,FALSE)="Fixed","Fixed",(W$70)))</f>
        <v>11</v>
      </c>
      <c r="X84" s="25">
        <f t="shared" si="42"/>
        <v>0</v>
      </c>
      <c r="Z84" s="173">
        <f>INDEX(Input!$C$62:$AM$74,MATCH($A84,Input!$A$62:$A$74,0),MATCH(Z$61,Input!$C$61:$AM$61,0))</f>
        <v>0</v>
      </c>
      <c r="AA84" s="31">
        <f>IF(VLOOKUP($A84,Input!$A$62:$B$74,2,FALSE)="Percentage",AB$70,IF(VLOOKUP($A84,Input!$A$62:$B$74,2,FALSE)="Fixed","Fixed",(AA$70)))</f>
        <v>11</v>
      </c>
      <c r="AB84" s="25">
        <f t="shared" si="43"/>
        <v>0</v>
      </c>
      <c r="AD84" s="173">
        <f>INDEX(Input!$C$62:$AM$74,MATCH($A84,Input!$A$62:$A$74,0),MATCH(AD$61,Input!$C$61:$AM$61,0))</f>
        <v>0</v>
      </c>
      <c r="AE84" s="31">
        <f>IF(VLOOKUP($A84,Input!$A$62:$B$74,2,FALSE)="Percentage",AF$70,IF(VLOOKUP($A84,Input!$A$62:$B$74,2,FALSE)="Fixed","Fixed",(AE$70)))</f>
        <v>11</v>
      </c>
      <c r="AF84" s="25">
        <f t="shared" si="44"/>
        <v>0</v>
      </c>
      <c r="AH84" s="173">
        <f>INDEX(Input!$C$62:$AM$74,MATCH($A84,Input!$A$62:$A$74,0),MATCH(AH$61,Input!$C$61:$AM$61,0))</f>
        <v>0</v>
      </c>
      <c r="AI84" s="31">
        <f>IF(VLOOKUP($A84,Input!$A$62:$B$74,2,FALSE)="Percentage",AJ$70,IF(VLOOKUP($A84,Input!$A$62:$B$74,2,FALSE)="Fixed","Fixed",(AI$70)))</f>
        <v>11</v>
      </c>
      <c r="AJ84" s="25">
        <f t="shared" si="45"/>
        <v>0</v>
      </c>
      <c r="AL84" s="173">
        <f>INDEX(Input!$C$62:$AM$74,MATCH($A84,Input!$A$62:$A$74,0),MATCH(AL$61,Input!$C$61:$AM$61,0))</f>
        <v>0</v>
      </c>
      <c r="AM84" s="31">
        <f>IF(VLOOKUP($A84,Input!$A$62:$B$74,2,FALSE)="Percentage",AN$70,IF(VLOOKUP($A84,Input!$A$62:$B$74,2,FALSE)="Fixed","Fixed",(AM$70)))</f>
        <v>11</v>
      </c>
      <c r="AN84" s="25">
        <f t="shared" si="46"/>
        <v>0</v>
      </c>
      <c r="AP84" s="173">
        <f>INDEX(Input!$C$62:$AM$74,MATCH($A84,Input!$A$62:$A$74,0),MATCH(AP$61,Input!$C$61:$AM$61,0))</f>
        <v>0</v>
      </c>
      <c r="AQ84" s="31">
        <f>IF(VLOOKUP($A84,Input!$A$62:$B$74,2,FALSE)="Percentage",AR$70,IF(VLOOKUP($A84,Input!$A$62:$B$74,2,FALSE)="Fixed","Fixed",(AQ$70)))</f>
        <v>11</v>
      </c>
      <c r="AR84" s="25">
        <f t="shared" si="47"/>
        <v>0</v>
      </c>
      <c r="AS84" s="30"/>
      <c r="AT84" s="173">
        <f>INDEX(Input!$C$62:$AM$74,MATCH($A84,Input!$A$62:$A$74,0),MATCH(AT$61,Input!$C$61:$AM$61,0))</f>
        <v>0</v>
      </c>
      <c r="AU84" s="31">
        <f>IF(VLOOKUP($A84,Input!$A$62:$B$74,2,FALSE)="Percentage",AV$70,IF(VLOOKUP($A84,Input!$A$62:$B$74,2,FALSE)="Fixed","Fixed",(AU$70)))</f>
        <v>11</v>
      </c>
      <c r="AV84" s="25">
        <f t="shared" si="48"/>
        <v>0</v>
      </c>
    </row>
    <row r="85" spans="1:48" x14ac:dyDescent="0.55000000000000004">
      <c r="A85">
        <f t="shared" si="36"/>
        <v>0</v>
      </c>
      <c r="B85" s="173">
        <f>INDEX(Input!$C$62:$AM$74,MATCH($A85,Input!$A$62:$A$74,0),MATCH(B$61,Input!$C$61:$AM$61,0))</f>
        <v>0</v>
      </c>
      <c r="C85" s="31">
        <f>IF(VLOOKUP($A85,Input!$A$62:$B$74,2,FALSE)="Percentage",D$70,IF(VLOOKUP($A85,Input!$A$62:$B$74,2,FALSE)="Fixed","Fixed",(C$70)))</f>
        <v>11</v>
      </c>
      <c r="D85" s="25">
        <f t="shared" si="37"/>
        <v>0</v>
      </c>
      <c r="F85" s="173">
        <f>INDEX(Input!$C$62:$AM$74,MATCH($A85,Input!$A$62:$A$74,0),MATCH(F$61,Input!$C$61:$AM$61,0))</f>
        <v>0</v>
      </c>
      <c r="G85" s="31">
        <f>IF(VLOOKUP($A85,Input!$A$62:$B$74,2,FALSE)="Percentage",H$70,IF(VLOOKUP($A85,Input!$A$62:$B$74,2,FALSE)="Fixed","Fixed",(G$70)))</f>
        <v>11</v>
      </c>
      <c r="H85" s="25">
        <f t="shared" si="38"/>
        <v>0</v>
      </c>
      <c r="J85" s="173">
        <f>INDEX(Input!$C$62:$AM$74,MATCH($A85,Input!$A$62:$A$74,0),MATCH(J$61,Input!$C$61:$AM$61,0))</f>
        <v>0</v>
      </c>
      <c r="K85" s="31">
        <f>IF(VLOOKUP($A85,Input!$A$62:$B$74,2,FALSE)="Percentage",L$70,IF(VLOOKUP($A85,Input!$A$62:$B$74,2,FALSE)="Fixed","Fixed",(K$70)))</f>
        <v>11</v>
      </c>
      <c r="L85" s="25">
        <f t="shared" si="39"/>
        <v>0</v>
      </c>
      <c r="N85" s="173">
        <f>INDEX(Input!$C$62:$AM$74,MATCH($A85,Input!$A$62:$A$74,0),MATCH(N$61,Input!$C$61:$AM$61,0))</f>
        <v>0</v>
      </c>
      <c r="O85" s="31">
        <f>IF(VLOOKUP($A85,Input!$A$62:$B$74,2,FALSE)="Percentage",P$70,IF(VLOOKUP($A85,Input!$A$62:$B$74,2,FALSE)="Fixed","Fixed",(O$70)))</f>
        <v>11</v>
      </c>
      <c r="P85" s="25">
        <f t="shared" si="40"/>
        <v>0</v>
      </c>
      <c r="R85" s="173">
        <f>INDEX(Input!$C$62:$AM$74,MATCH($A85,Input!$A$62:$A$74,0),MATCH(R$61,Input!$C$61:$AM$61,0))</f>
        <v>0</v>
      </c>
      <c r="S85" s="31">
        <f>IF(VLOOKUP($A85,Input!$A$62:$B$74,2,FALSE)="Percentage",T$70,IF(VLOOKUP($A85,Input!$A$62:$B$74,2,FALSE)="Fixed","Fixed",(S$70)))</f>
        <v>11</v>
      </c>
      <c r="T85" s="25">
        <f t="shared" si="41"/>
        <v>0</v>
      </c>
      <c r="V85" s="173">
        <f>INDEX(Input!$C$62:$AM$74,MATCH($A85,Input!$A$62:$A$74,0),MATCH(V$61,Input!$C$61:$AM$61,0))</f>
        <v>0</v>
      </c>
      <c r="W85" s="31">
        <f>IF(VLOOKUP($A85,Input!$A$62:$B$74,2,FALSE)="Percentage",X$70,IF(VLOOKUP($A85,Input!$A$62:$B$74,2,FALSE)="Fixed","Fixed",(W$70)))</f>
        <v>11</v>
      </c>
      <c r="X85" s="25">
        <f t="shared" si="42"/>
        <v>0</v>
      </c>
      <c r="Z85" s="173">
        <f>INDEX(Input!$C$62:$AM$74,MATCH($A85,Input!$A$62:$A$74,0),MATCH(Z$61,Input!$C$61:$AM$61,0))</f>
        <v>0</v>
      </c>
      <c r="AA85" s="31">
        <f>IF(VLOOKUP($A85,Input!$A$62:$B$74,2,FALSE)="Percentage",AB$70,IF(VLOOKUP($A85,Input!$A$62:$B$74,2,FALSE)="Fixed","Fixed",(AA$70)))</f>
        <v>11</v>
      </c>
      <c r="AB85" s="25">
        <f t="shared" si="43"/>
        <v>0</v>
      </c>
      <c r="AD85" s="173">
        <f>INDEX(Input!$C$62:$AM$74,MATCH($A85,Input!$A$62:$A$74,0),MATCH(AD$61,Input!$C$61:$AM$61,0))</f>
        <v>0</v>
      </c>
      <c r="AE85" s="31">
        <f>IF(VLOOKUP($A85,Input!$A$62:$B$74,2,FALSE)="Percentage",AF$70,IF(VLOOKUP($A85,Input!$A$62:$B$74,2,FALSE)="Fixed","Fixed",(AE$70)))</f>
        <v>11</v>
      </c>
      <c r="AF85" s="25">
        <f t="shared" si="44"/>
        <v>0</v>
      </c>
      <c r="AH85" s="173">
        <f>INDEX(Input!$C$62:$AM$74,MATCH($A85,Input!$A$62:$A$74,0),MATCH(AH$61,Input!$C$61:$AM$61,0))</f>
        <v>0</v>
      </c>
      <c r="AI85" s="31">
        <f>IF(VLOOKUP($A85,Input!$A$62:$B$74,2,FALSE)="Percentage",AJ$70,IF(VLOOKUP($A85,Input!$A$62:$B$74,2,FALSE)="Fixed","Fixed",(AI$70)))</f>
        <v>11</v>
      </c>
      <c r="AJ85" s="25">
        <f t="shared" si="45"/>
        <v>0</v>
      </c>
      <c r="AL85" s="173">
        <f>INDEX(Input!$C$62:$AM$74,MATCH($A85,Input!$A$62:$A$74,0),MATCH(AL$61,Input!$C$61:$AM$61,0))</f>
        <v>0</v>
      </c>
      <c r="AM85" s="31">
        <f>IF(VLOOKUP($A85,Input!$A$62:$B$74,2,FALSE)="Percentage",AN$70,IF(VLOOKUP($A85,Input!$A$62:$B$74,2,FALSE)="Fixed","Fixed",(AM$70)))</f>
        <v>11</v>
      </c>
      <c r="AN85" s="25">
        <f t="shared" si="46"/>
        <v>0</v>
      </c>
      <c r="AP85" s="173">
        <f>INDEX(Input!$C$62:$AM$74,MATCH($A85,Input!$A$62:$A$74,0),MATCH(AP$61,Input!$C$61:$AM$61,0))</f>
        <v>0</v>
      </c>
      <c r="AQ85" s="31">
        <f>IF(VLOOKUP($A85,Input!$A$62:$B$74,2,FALSE)="Percentage",AR$70,IF(VLOOKUP($A85,Input!$A$62:$B$74,2,FALSE)="Fixed","Fixed",(AQ$70)))</f>
        <v>11</v>
      </c>
      <c r="AR85" s="25">
        <f t="shared" si="47"/>
        <v>0</v>
      </c>
      <c r="AS85" s="30"/>
      <c r="AT85" s="173">
        <f>INDEX(Input!$C$62:$AM$74,MATCH($A85,Input!$A$62:$A$74,0),MATCH(AT$61,Input!$C$61:$AM$61,0))</f>
        <v>0</v>
      </c>
      <c r="AU85" s="31">
        <f>IF(VLOOKUP($A85,Input!$A$62:$B$74,2,FALSE)="Percentage",AV$70,IF(VLOOKUP($A85,Input!$A$62:$B$74,2,FALSE)="Fixed","Fixed",(AU$70)))</f>
        <v>11</v>
      </c>
      <c r="AV85" s="25">
        <f t="shared" si="48"/>
        <v>0</v>
      </c>
    </row>
    <row r="86" spans="1:48" x14ac:dyDescent="0.55000000000000004">
      <c r="A86" t="s">
        <v>39</v>
      </c>
      <c r="B86" s="16"/>
      <c r="C86" s="17"/>
      <c r="D86" s="26">
        <f>SUM(D73:D85)</f>
        <v>-13.58</v>
      </c>
      <c r="F86" s="16"/>
      <c r="G86" s="17"/>
      <c r="H86" s="26">
        <f>SUM(H73:H85)</f>
        <v>-13.58</v>
      </c>
      <c r="J86" s="16"/>
      <c r="K86" s="17"/>
      <c r="L86" s="26">
        <f>SUM(L73:L85)</f>
        <v>-13.58</v>
      </c>
      <c r="N86" s="16"/>
      <c r="O86" s="17"/>
      <c r="P86" s="26">
        <f>SUM(P73:P85)</f>
        <v>-13.58</v>
      </c>
      <c r="R86" s="16"/>
      <c r="S86" s="17"/>
      <c r="T86" s="26">
        <f>SUM(T73:T85)</f>
        <v>-13.58</v>
      </c>
      <c r="V86" s="16"/>
      <c r="W86" s="17"/>
      <c r="X86" s="26">
        <f>SUM(X73:X85)</f>
        <v>-13.58</v>
      </c>
      <c r="Z86" s="16"/>
      <c r="AA86" s="17"/>
      <c r="AB86" s="26">
        <f>SUM(AB73:AB85)</f>
        <v>-14.44</v>
      </c>
      <c r="AD86" s="16"/>
      <c r="AE86" s="17"/>
      <c r="AF86" s="26">
        <f>SUM(AF73:AF85)</f>
        <v>-14.44</v>
      </c>
      <c r="AH86" s="16"/>
      <c r="AI86" s="17"/>
      <c r="AJ86" s="26">
        <f>SUM(AJ73:AJ85)</f>
        <v>-14.44</v>
      </c>
      <c r="AL86" s="16"/>
      <c r="AM86" s="17"/>
      <c r="AN86" s="26">
        <f>SUM(AN73:AN85)</f>
        <v>-14.44</v>
      </c>
      <c r="AP86" s="16"/>
      <c r="AQ86" s="17"/>
      <c r="AR86" s="26">
        <f>SUM(AR73:AR85)</f>
        <v>-20.189999999999998</v>
      </c>
      <c r="AS86" s="64"/>
      <c r="AT86" s="16"/>
      <c r="AU86" s="17"/>
      <c r="AV86" s="26">
        <f>SUM(AV73:AV85)</f>
        <v>-15.379999999999999</v>
      </c>
    </row>
    <row r="87" spans="1:48" x14ac:dyDescent="0.55000000000000004">
      <c r="B87" s="16"/>
      <c r="C87" s="17"/>
      <c r="D87" s="19"/>
      <c r="F87" s="16"/>
      <c r="G87" s="17"/>
      <c r="H87" s="19"/>
      <c r="J87" s="16"/>
      <c r="K87" s="17"/>
      <c r="L87" s="19"/>
      <c r="N87" s="16"/>
      <c r="O87" s="17"/>
      <c r="P87" s="19"/>
      <c r="R87" s="16"/>
      <c r="S87" s="17"/>
      <c r="T87" s="19"/>
      <c r="V87" s="16"/>
      <c r="W87" s="17"/>
      <c r="X87" s="19"/>
      <c r="Z87" s="16"/>
      <c r="AA87" s="17"/>
      <c r="AB87" s="19"/>
      <c r="AD87" s="16"/>
      <c r="AE87" s="17"/>
      <c r="AF87" s="19"/>
      <c r="AH87" s="16"/>
      <c r="AI87" s="17"/>
      <c r="AJ87" s="19"/>
      <c r="AL87" s="16"/>
      <c r="AM87" s="17"/>
      <c r="AN87" s="19"/>
      <c r="AP87" s="16"/>
      <c r="AQ87" s="17"/>
      <c r="AR87" s="19"/>
      <c r="AS87" s="17"/>
      <c r="AT87" s="16"/>
      <c r="AU87" s="17"/>
      <c r="AV87" s="19"/>
    </row>
    <row r="88" spans="1:48" x14ac:dyDescent="0.55000000000000004">
      <c r="A88" s="1" t="s">
        <v>35</v>
      </c>
      <c r="B88" s="20" t="s">
        <v>29</v>
      </c>
      <c r="C88" s="21" t="s">
        <v>45</v>
      </c>
      <c r="D88" s="22" t="s">
        <v>30</v>
      </c>
      <c r="F88" s="20" t="s">
        <v>29</v>
      </c>
      <c r="G88" s="21" t="s">
        <v>45</v>
      </c>
      <c r="H88" s="111" t="s">
        <v>30</v>
      </c>
      <c r="J88" s="20" t="s">
        <v>29</v>
      </c>
      <c r="K88" s="21" t="s">
        <v>45</v>
      </c>
      <c r="L88" s="111" t="s">
        <v>30</v>
      </c>
      <c r="N88" s="20" t="s">
        <v>29</v>
      </c>
      <c r="O88" s="21" t="s">
        <v>45</v>
      </c>
      <c r="P88" s="111" t="s">
        <v>30</v>
      </c>
      <c r="R88" s="20" t="s">
        <v>29</v>
      </c>
      <c r="S88" s="21" t="s">
        <v>45</v>
      </c>
      <c r="T88" s="111" t="s">
        <v>30</v>
      </c>
      <c r="V88" s="20" t="s">
        <v>29</v>
      </c>
      <c r="W88" s="21" t="s">
        <v>45</v>
      </c>
      <c r="X88" s="111" t="s">
        <v>30</v>
      </c>
      <c r="Z88" s="20" t="s">
        <v>29</v>
      </c>
      <c r="AA88" s="21" t="s">
        <v>45</v>
      </c>
      <c r="AB88" s="111" t="s">
        <v>30</v>
      </c>
      <c r="AD88" s="20" t="s">
        <v>29</v>
      </c>
      <c r="AE88" s="21" t="s">
        <v>45</v>
      </c>
      <c r="AF88" s="111" t="s">
        <v>30</v>
      </c>
      <c r="AH88" s="20" t="s">
        <v>29</v>
      </c>
      <c r="AI88" s="21" t="s">
        <v>45</v>
      </c>
      <c r="AJ88" s="111" t="s">
        <v>30</v>
      </c>
      <c r="AL88" s="20" t="s">
        <v>29</v>
      </c>
      <c r="AM88" s="21" t="s">
        <v>45</v>
      </c>
      <c r="AN88" s="111" t="s">
        <v>30</v>
      </c>
      <c r="AP88" s="20" t="s">
        <v>29</v>
      </c>
      <c r="AQ88" s="21" t="s">
        <v>45</v>
      </c>
      <c r="AR88" s="111" t="s">
        <v>30</v>
      </c>
      <c r="AS88" s="170"/>
      <c r="AT88" s="20" t="s">
        <v>29</v>
      </c>
      <c r="AU88" s="21" t="s">
        <v>45</v>
      </c>
      <c r="AV88" s="111" t="s">
        <v>30</v>
      </c>
    </row>
    <row r="89" spans="1:48" x14ac:dyDescent="0.55000000000000004">
      <c r="A89" t="str">
        <f>A41</f>
        <v>CPUC Fee</v>
      </c>
      <c r="B89" s="29">
        <f>INDEX(Input!$C$77:$AL$82,MATCH('Residential Bills_Yr 1_avg'!$A$41,Input!$A$77:$A$82,0),MATCH('Residential Bills_Yr 1_avg'!B61:D61,Input!$C$76:$AL$76,0))</f>
        <v>1.43E-2</v>
      </c>
      <c r="C89" s="30">
        <f>D70+D86</f>
        <v>77.88</v>
      </c>
      <c r="D89" s="25">
        <f>ROUND(B89*C89,2)</f>
        <v>1.1100000000000001</v>
      </c>
      <c r="F89" s="29">
        <f>INDEX(Input!$C$77:$AL$82,MATCH('Residential Bills_Yr 1_avg'!$A$41,Input!$A$77:$A$82,0),MATCH('Residential Bills_Yr 1_avg'!F61:H61,Input!$C$76:$AL$76,0))</f>
        <v>1.43E-2</v>
      </c>
      <c r="G89" s="30">
        <f>H70+H86</f>
        <v>77.88</v>
      </c>
      <c r="H89" s="25">
        <f>ROUND(F89*G89,2)</f>
        <v>1.1100000000000001</v>
      </c>
      <c r="J89" s="29">
        <f>INDEX(Input!$C$77:$AL$82,MATCH('Residential Bills_Yr 1_avg'!$A$41,Input!$A$77:$A$82,0),MATCH('Residential Bills_Yr 1_avg'!J61:L61,Input!$C$76:$AL$76,0))</f>
        <v>1.43E-2</v>
      </c>
      <c r="K89" s="30">
        <f>L70+L86</f>
        <v>77.88</v>
      </c>
      <c r="L89" s="25">
        <f>ROUND(J89*K89,2)</f>
        <v>1.1100000000000001</v>
      </c>
      <c r="N89" s="29">
        <f>INDEX(Input!$C$77:$AL$82,MATCH('Residential Bills_Yr 1_avg'!$A$41,Input!$A$77:$A$82,0),MATCH('Residential Bills_Yr 1_avg'!N61:P61,Input!$C$76:$AL$76,0))</f>
        <v>1.43E-2</v>
      </c>
      <c r="O89" s="30">
        <f>P70+P86</f>
        <v>77.88</v>
      </c>
      <c r="P89" s="25">
        <f>ROUND(N89*O89,2)</f>
        <v>1.1100000000000001</v>
      </c>
      <c r="R89" s="29">
        <f>INDEX(Input!$C$77:$AL$82,MATCH('Residential Bills_Yr 1_avg'!$A$41,Input!$A$77:$A$82,0),MATCH('Residential Bills_Yr 1_avg'!R61:T61,Input!$C$76:$AL$76,0))</f>
        <v>1.43E-2</v>
      </c>
      <c r="S89" s="30">
        <f>T70+T86</f>
        <v>77.88</v>
      </c>
      <c r="T89" s="25">
        <f>ROUND(R89*S89,2)</f>
        <v>1.1100000000000001</v>
      </c>
      <c r="V89" s="29">
        <f>INDEX(Input!$C$77:$AL$82,MATCH('Residential Bills_Yr 1_avg'!$A$41,Input!$A$77:$A$82,0),MATCH('Residential Bills_Yr 1_avg'!V61:X61,Input!$C$76:$AL$76,0))</f>
        <v>1.43E-2</v>
      </c>
      <c r="W89" s="30">
        <f>X70+X86</f>
        <v>77.88</v>
      </c>
      <c r="X89" s="25">
        <f>ROUND(V89*W89,2)</f>
        <v>1.1100000000000001</v>
      </c>
      <c r="Z89" s="29">
        <f>INDEX(Input!$C$77:$AL$82,MATCH('Residential Bills_Yr 1_avg'!$A$41,Input!$A$77:$A$82,0),MATCH('Residential Bills_Yr 1_avg'!Z61:AB61,Input!$C$76:$AL$76,0))</f>
        <v>1.43E-2</v>
      </c>
      <c r="AA89" s="30">
        <f>AB70+AB86</f>
        <v>82.710000000000008</v>
      </c>
      <c r="AB89" s="25">
        <f>ROUND(Z89*AA89,2)</f>
        <v>1.18</v>
      </c>
      <c r="AD89" s="29">
        <f>INDEX(Input!$C$77:$AL$82,MATCH('Residential Bills_Yr 1_avg'!$A$41,Input!$A$77:$A$82,0),MATCH('Residential Bills_Yr 1_avg'!AD61:AF61,Input!$C$76:$AL$76,0))</f>
        <v>1.43E-2</v>
      </c>
      <c r="AE89" s="30">
        <f>AF70+AF86</f>
        <v>82.710000000000008</v>
      </c>
      <c r="AF89" s="25">
        <f>ROUND(AD89*AE89,2)</f>
        <v>1.18</v>
      </c>
      <c r="AH89" s="29">
        <f>INDEX(Input!$C$77:$AL$82,MATCH('Residential Bills_Yr 1_avg'!$A$41,Input!$A$77:$A$82,0),MATCH('Residential Bills_Yr 1_avg'!AH61:AJ61,Input!$C$76:$AL$76,0))</f>
        <v>1.43E-2</v>
      </c>
      <c r="AI89" s="30">
        <f>AJ70+AJ86</f>
        <v>82.710000000000008</v>
      </c>
      <c r="AJ89" s="25">
        <f>ROUND(AH89*AI89,2)</f>
        <v>1.18</v>
      </c>
      <c r="AL89" s="29">
        <f>INDEX(Input!$C$77:$AL$82,MATCH('Residential Bills_Yr 1_avg'!$A$41,Input!$A$77:$A$82,0),MATCH('Residential Bills_Yr 1_avg'!AL61:AN61,Input!$C$76:$AL$76,0))</f>
        <v>1.43E-2</v>
      </c>
      <c r="AM89" s="30">
        <f>AN70+AN86</f>
        <v>82.710000000000008</v>
      </c>
      <c r="AN89" s="25">
        <f>ROUND(AL89*AM89,2)</f>
        <v>1.18</v>
      </c>
      <c r="AP89" s="29">
        <f>INDEX(Input!$C$77:$AL$82,MATCH('Residential Bills_Yr 1_avg'!$A$41,Input!$A$77:$A$82,0),MATCH('Residential Bills_Yr 1_avg'!AP61:AR61,Input!$C$76:$AL$76,0))</f>
        <v>1.43E-2</v>
      </c>
      <c r="AQ89" s="30">
        <f>AR70+AR86</f>
        <v>83.28</v>
      </c>
      <c r="AR89" s="25">
        <f>ROUND(AP89*AQ89,2)</f>
        <v>1.19</v>
      </c>
      <c r="AS89" s="30"/>
      <c r="AT89" s="29">
        <f>INDEX(Input!$C$77:$AL$82,MATCH('Residential Bills_Yr 1_avg'!$A$41,Input!$A$77:$A$82,0),MATCH('Residential Bills_Yr 1_avg'!AT61:AV61,Input!$C$76:$AL$76,0))</f>
        <v>1.43E-2</v>
      </c>
      <c r="AU89" s="30">
        <f>AV70+AV86</f>
        <v>88.09</v>
      </c>
      <c r="AV89" s="25">
        <f>ROUND(AT89*AU89,2)</f>
        <v>1.26</v>
      </c>
    </row>
    <row r="90" spans="1:48" ht="14.5" customHeight="1" x14ac:dyDescent="0.55000000000000004">
      <c r="A90" t="str">
        <f>+A42</f>
        <v>CSJ UTT</v>
      </c>
      <c r="B90" s="29">
        <f>INDEX(Input!$C$77:$AL$82,MATCH('Residential Bills_Yr 1_avg'!$A$42,Input!$A$77:$A$82,0),MATCH('Residential Bills_Yr 1_avg'!B61,Input!$C$76:$AL$76,0))</f>
        <v>0.05</v>
      </c>
      <c r="C90" s="30">
        <f>D70+D86+D89</f>
        <v>78.989999999999995</v>
      </c>
      <c r="D90" s="25">
        <f>ROUND(B90*C90,2)</f>
        <v>3.95</v>
      </c>
      <c r="F90" s="29">
        <f>INDEX(Input!$C$77:$AL$82,MATCH('Residential Bills_Yr 1_avg'!$A$42,Input!$A$77:$A$82,0),MATCH('Residential Bills_Yr 1_avg'!F61,Input!$C$76:$AL$76,0))</f>
        <v>0.05</v>
      </c>
      <c r="G90" s="30">
        <f>H70+H86+H89</f>
        <v>78.989999999999995</v>
      </c>
      <c r="H90" s="25">
        <f>ROUND(F90*G90,2)</f>
        <v>3.95</v>
      </c>
      <c r="J90" s="29">
        <f>INDEX(Input!$C$77:$AL$82,MATCH('Residential Bills_Yr 1_avg'!$A$42,Input!$A$77:$A$82,0),MATCH('Residential Bills_Yr 1_avg'!J61,Input!$C$76:$AL$76,0))</f>
        <v>0.05</v>
      </c>
      <c r="K90" s="30">
        <f>L70+L86+L89</f>
        <v>78.989999999999995</v>
      </c>
      <c r="L90" s="25">
        <f>ROUND(J90*K90,2)</f>
        <v>3.95</v>
      </c>
      <c r="N90" s="29">
        <f>INDEX(Input!$C$77:$AL$82,MATCH('Residential Bills_Yr 1_avg'!$A$42,Input!$A$77:$A$82,0),MATCH('Residential Bills_Yr 1_avg'!N61,Input!$C$76:$AL$76,0))</f>
        <v>0.05</v>
      </c>
      <c r="O90" s="30">
        <f>P70+P86+P89</f>
        <v>78.989999999999995</v>
      </c>
      <c r="P90" s="25">
        <f>ROUND(N90*O90,2)</f>
        <v>3.95</v>
      </c>
      <c r="R90" s="29">
        <f>INDEX(Input!$C$77:$AL$82,MATCH('Residential Bills_Yr 1_avg'!$A$42,Input!$A$77:$A$82,0),MATCH('Residential Bills_Yr 1_avg'!R61,Input!$C$76:$AL$76,0))</f>
        <v>0.05</v>
      </c>
      <c r="S90" s="30">
        <f>T70+T86+T89</f>
        <v>78.989999999999995</v>
      </c>
      <c r="T90" s="25">
        <f>ROUND(R90*S90,2)</f>
        <v>3.95</v>
      </c>
      <c r="V90" s="29">
        <f>INDEX(Input!$C$77:$AL$82,MATCH('Residential Bills_Yr 1_avg'!$A$42,Input!$A$77:$A$82,0),MATCH('Residential Bills_Yr 1_avg'!V61,Input!$C$76:$AL$76,0))</f>
        <v>0.05</v>
      </c>
      <c r="W90" s="30">
        <f>X70+X86+X89</f>
        <v>78.989999999999995</v>
      </c>
      <c r="X90" s="25">
        <f>ROUND(V90*W90,2)</f>
        <v>3.95</v>
      </c>
      <c r="Z90" s="29">
        <f>INDEX(Input!$C$77:$AL$82,MATCH('Residential Bills_Yr 1_avg'!$A$42,Input!$A$77:$A$82,0),MATCH('Residential Bills_Yr 1_avg'!Z61,Input!$C$76:$AL$76,0))</f>
        <v>0.05</v>
      </c>
      <c r="AA90" s="30">
        <f>AB70+AB86+AB89</f>
        <v>83.890000000000015</v>
      </c>
      <c r="AB90" s="25">
        <f>ROUND(Z90*AA90,2)</f>
        <v>4.1900000000000004</v>
      </c>
      <c r="AD90" s="29">
        <f>INDEX(Input!$C$77:$AL$82,MATCH('Residential Bills_Yr 1_avg'!$A$42,Input!$A$77:$A$82,0),MATCH('Residential Bills_Yr 1_avg'!AD61,Input!$C$76:$AL$76,0))</f>
        <v>0.05</v>
      </c>
      <c r="AE90" s="30">
        <f>AF70+AF86+AF89</f>
        <v>83.890000000000015</v>
      </c>
      <c r="AF90" s="25">
        <f>ROUND(AD90*AE90,2)</f>
        <v>4.1900000000000004</v>
      </c>
      <c r="AH90" s="29">
        <f>INDEX(Input!$C$77:$AL$82,MATCH('Residential Bills_Yr 1_avg'!$A$42,Input!$A$77:$A$82,0),MATCH('Residential Bills_Yr 1_avg'!AH61,Input!$C$76:$AL$76,0))</f>
        <v>0.05</v>
      </c>
      <c r="AI90" s="30">
        <f>AJ70+AJ86+AJ89</f>
        <v>83.890000000000015</v>
      </c>
      <c r="AJ90" s="25">
        <f>ROUND(AH90*AI90,2)</f>
        <v>4.1900000000000004</v>
      </c>
      <c r="AL90" s="29">
        <f>INDEX(Input!$C$77:$AL$82,MATCH('Residential Bills_Yr 1_avg'!$A$42,Input!$A$77:$A$82,0),MATCH('Residential Bills_Yr 1_avg'!AL61,Input!$C$76:$AL$76,0))</f>
        <v>0.05</v>
      </c>
      <c r="AM90" s="30">
        <f>AN70+AN86+AN89</f>
        <v>83.890000000000015</v>
      </c>
      <c r="AN90" s="25">
        <f>ROUND(AL90*AM90,2)</f>
        <v>4.1900000000000004</v>
      </c>
      <c r="AP90" s="29">
        <f>INDEX(Input!$C$77:$AL$82,MATCH('Residential Bills_Yr 1_avg'!$A$42,Input!$A$77:$A$82,0),MATCH('Residential Bills_Yr 1_avg'!AP61,Input!$C$76:$AL$76,0))</f>
        <v>0.05</v>
      </c>
      <c r="AQ90" s="30">
        <f>AR70+AR86+AR89</f>
        <v>84.47</v>
      </c>
      <c r="AR90" s="25">
        <f>ROUND(AP90*AQ90,2)</f>
        <v>4.22</v>
      </c>
      <c r="AS90" s="17"/>
      <c r="AT90" s="29">
        <f>INDEX(Input!$C$77:$AL$82,MATCH('Residential Bills_Yr 1_avg'!$A$42,Input!$A$77:$A$82,0),MATCH('Residential Bills_Yr 1_avg'!AT61,Input!$C$76:$AL$76,0))</f>
        <v>0.05</v>
      </c>
      <c r="AU90" s="30">
        <f>AV70+AV86+AV89</f>
        <v>89.350000000000009</v>
      </c>
      <c r="AV90" s="25">
        <f>ROUND(AT90*AU90,2)</f>
        <v>4.47</v>
      </c>
    </row>
    <row r="91" spans="1:48" ht="14.5" customHeight="1" x14ac:dyDescent="0.55000000000000004">
      <c r="A91">
        <f>+Input!A123</f>
        <v>0</v>
      </c>
      <c r="B91" s="29"/>
      <c r="C91" s="17"/>
      <c r="D91" s="19"/>
      <c r="F91" s="16"/>
      <c r="G91" s="17"/>
      <c r="H91" s="19"/>
      <c r="J91" s="16"/>
      <c r="K91" s="17"/>
      <c r="L91" s="19"/>
      <c r="N91" s="16"/>
      <c r="O91" s="17"/>
      <c r="P91" s="19"/>
      <c r="R91" s="16"/>
      <c r="S91" s="17"/>
      <c r="T91" s="19"/>
      <c r="V91" s="16"/>
      <c r="W91" s="17"/>
      <c r="X91" s="19"/>
      <c r="Z91" s="16"/>
      <c r="AA91" s="17"/>
      <c r="AB91" s="19"/>
      <c r="AD91" s="16"/>
      <c r="AE91" s="17"/>
      <c r="AF91" s="19"/>
      <c r="AH91" s="16"/>
      <c r="AI91" s="17"/>
      <c r="AJ91" s="19"/>
      <c r="AL91" s="16"/>
      <c r="AM91" s="17"/>
      <c r="AN91" s="19"/>
      <c r="AP91" s="16"/>
      <c r="AQ91" s="17"/>
      <c r="AR91" s="19"/>
      <c r="AS91" s="17"/>
      <c r="AT91" s="16"/>
      <c r="AU91" s="17"/>
      <c r="AV91" s="19"/>
    </row>
    <row r="92" spans="1:48" ht="14.5" customHeight="1" x14ac:dyDescent="0.55000000000000004">
      <c r="A92">
        <f>+Input!A124</f>
        <v>0</v>
      </c>
      <c r="B92" s="29"/>
      <c r="C92" s="17"/>
      <c r="D92" s="19"/>
      <c r="F92" s="16"/>
      <c r="G92" s="17"/>
      <c r="H92" s="19"/>
      <c r="J92" s="16"/>
      <c r="K92" s="17"/>
      <c r="L92" s="19"/>
      <c r="N92" s="16"/>
      <c r="O92" s="17"/>
      <c r="P92" s="19"/>
      <c r="R92" s="16"/>
      <c r="S92" s="17"/>
      <c r="T92" s="19"/>
      <c r="V92" s="16"/>
      <c r="W92" s="17"/>
      <c r="X92" s="19"/>
      <c r="Z92" s="16"/>
      <c r="AA92" s="17"/>
      <c r="AB92" s="19"/>
      <c r="AD92" s="16"/>
      <c r="AE92" s="17"/>
      <c r="AF92" s="19"/>
      <c r="AH92" s="16"/>
      <c r="AI92" s="17"/>
      <c r="AJ92" s="19"/>
      <c r="AL92" s="16"/>
      <c r="AM92" s="17"/>
      <c r="AN92" s="19"/>
      <c r="AP92" s="16"/>
      <c r="AQ92" s="17"/>
      <c r="AR92" s="19"/>
      <c r="AS92" s="17"/>
      <c r="AT92" s="16"/>
      <c r="AU92" s="17"/>
      <c r="AV92" s="19"/>
    </row>
    <row r="93" spans="1:48" ht="14.5" customHeight="1" x14ac:dyDescent="0.55000000000000004">
      <c r="A93">
        <f>+Input!A125</f>
        <v>0</v>
      </c>
      <c r="B93" s="29"/>
      <c r="C93" s="17"/>
      <c r="D93" s="19"/>
      <c r="F93" s="16"/>
      <c r="G93" s="17"/>
      <c r="H93" s="19"/>
      <c r="J93" s="16"/>
      <c r="K93" s="17"/>
      <c r="L93" s="19"/>
      <c r="N93" s="16"/>
      <c r="O93" s="17"/>
      <c r="P93" s="19"/>
      <c r="R93" s="16"/>
      <c r="S93" s="17"/>
      <c r="T93" s="19"/>
      <c r="V93" s="16"/>
      <c r="W93" s="17"/>
      <c r="X93" s="19"/>
      <c r="Z93" s="16"/>
      <c r="AA93" s="17"/>
      <c r="AB93" s="19"/>
      <c r="AD93" s="16"/>
      <c r="AE93" s="17"/>
      <c r="AF93" s="19"/>
      <c r="AH93" s="16"/>
      <c r="AI93" s="17"/>
      <c r="AJ93" s="19"/>
      <c r="AL93" s="16"/>
      <c r="AM93" s="17"/>
      <c r="AN93" s="19"/>
      <c r="AP93" s="16"/>
      <c r="AQ93" s="17"/>
      <c r="AR93" s="19"/>
      <c r="AS93" s="17"/>
      <c r="AT93" s="16"/>
      <c r="AU93" s="17"/>
      <c r="AV93" s="19"/>
    </row>
    <row r="94" spans="1:48" ht="14.5" customHeight="1" x14ac:dyDescent="0.55000000000000004">
      <c r="A94">
        <f>+Input!A126</f>
        <v>0</v>
      </c>
      <c r="B94" s="29"/>
      <c r="C94" s="17"/>
      <c r="D94" s="19"/>
      <c r="F94" s="16"/>
      <c r="G94" s="17"/>
      <c r="H94" s="19"/>
      <c r="J94" s="16"/>
      <c r="K94" s="17"/>
      <c r="L94" s="19"/>
      <c r="N94" s="16"/>
      <c r="O94" s="17"/>
      <c r="P94" s="19"/>
      <c r="R94" s="16"/>
      <c r="S94" s="17"/>
      <c r="T94" s="19"/>
      <c r="V94" s="16"/>
      <c r="W94" s="17"/>
      <c r="X94" s="19"/>
      <c r="Z94" s="16"/>
      <c r="AA94" s="17"/>
      <c r="AB94" s="19"/>
      <c r="AD94" s="16"/>
      <c r="AE94" s="17"/>
      <c r="AF94" s="19"/>
      <c r="AH94" s="16"/>
      <c r="AI94" s="17"/>
      <c r="AJ94" s="19"/>
      <c r="AL94" s="16"/>
      <c r="AM94" s="17"/>
      <c r="AN94" s="19"/>
      <c r="AP94" s="16"/>
      <c r="AQ94" s="17"/>
      <c r="AR94" s="19"/>
      <c r="AS94" s="17"/>
      <c r="AT94" s="16"/>
      <c r="AU94" s="17"/>
      <c r="AV94" s="19"/>
    </row>
    <row r="95" spans="1:48" x14ac:dyDescent="0.55000000000000004">
      <c r="A95" t="s">
        <v>39</v>
      </c>
      <c r="B95" s="16"/>
      <c r="C95" s="17"/>
      <c r="D95" s="26">
        <f>SUM(D89:D94)</f>
        <v>5.0600000000000005</v>
      </c>
      <c r="F95" s="16"/>
      <c r="G95" s="17"/>
      <c r="H95" s="26">
        <f>SUM(H89:H94)</f>
        <v>5.0600000000000005</v>
      </c>
      <c r="J95" s="16"/>
      <c r="K95" s="17"/>
      <c r="L95" s="26">
        <f>SUM(L89:L94)</f>
        <v>5.0600000000000005</v>
      </c>
      <c r="N95" s="16"/>
      <c r="O95" s="17"/>
      <c r="P95" s="26">
        <f>SUM(P89:P94)</f>
        <v>5.0600000000000005</v>
      </c>
      <c r="R95" s="16"/>
      <c r="S95" s="17"/>
      <c r="T95" s="26">
        <f>SUM(T89:T94)</f>
        <v>5.0600000000000005</v>
      </c>
      <c r="V95" s="16"/>
      <c r="W95" s="17"/>
      <c r="X95" s="26">
        <f>SUM(X89:X94)</f>
        <v>5.0600000000000005</v>
      </c>
      <c r="Z95" s="16"/>
      <c r="AA95" s="17"/>
      <c r="AB95" s="26">
        <f>SUM(AB89:AB94)</f>
        <v>5.37</v>
      </c>
      <c r="AD95" s="16"/>
      <c r="AE95" s="17"/>
      <c r="AF95" s="26">
        <f>SUM(AF89:AF94)</f>
        <v>5.37</v>
      </c>
      <c r="AH95" s="16"/>
      <c r="AI95" s="17"/>
      <c r="AJ95" s="26">
        <f>SUM(AJ89:AJ94)</f>
        <v>5.37</v>
      </c>
      <c r="AL95" s="16"/>
      <c r="AM95" s="17"/>
      <c r="AN95" s="26">
        <f>SUM(AN89:AN94)</f>
        <v>5.37</v>
      </c>
      <c r="AP95" s="16"/>
      <c r="AQ95" s="17"/>
      <c r="AR95" s="26">
        <f>SUM(AR89:AR94)</f>
        <v>5.41</v>
      </c>
      <c r="AS95" s="17"/>
      <c r="AT95" s="16"/>
      <c r="AU95" s="17"/>
      <c r="AV95" s="26">
        <f>SUM(AV89:AV94)</f>
        <v>5.7299999999999995</v>
      </c>
    </row>
    <row r="96" spans="1:48" x14ac:dyDescent="0.55000000000000004">
      <c r="B96" s="16"/>
      <c r="C96" s="17"/>
      <c r="D96" s="19"/>
      <c r="F96" s="16"/>
      <c r="G96" s="17"/>
      <c r="H96" s="19"/>
      <c r="J96" s="16"/>
      <c r="K96" s="17"/>
      <c r="L96" s="19"/>
      <c r="N96" s="16"/>
      <c r="O96" s="17"/>
      <c r="P96" s="19"/>
      <c r="R96" s="16"/>
      <c r="S96" s="17"/>
      <c r="T96" s="19"/>
      <c r="V96" s="16"/>
      <c r="W96" s="17"/>
      <c r="X96" s="19"/>
      <c r="Z96" s="16"/>
      <c r="AA96" s="17"/>
      <c r="AB96" s="19"/>
      <c r="AD96" s="16"/>
      <c r="AE96" s="17"/>
      <c r="AF96" s="19"/>
      <c r="AH96" s="16"/>
      <c r="AI96" s="17"/>
      <c r="AJ96" s="19"/>
      <c r="AL96" s="16"/>
      <c r="AM96" s="17"/>
      <c r="AN96" s="19"/>
      <c r="AP96" s="16"/>
      <c r="AQ96" s="17"/>
      <c r="AR96" s="19"/>
      <c r="AS96" s="17"/>
      <c r="AT96" s="16"/>
      <c r="AU96" s="17"/>
      <c r="AV96" s="19"/>
    </row>
    <row r="97" spans="1:48" ht="14.7" thickBot="1" x14ac:dyDescent="0.6">
      <c r="A97" t="s">
        <v>40</v>
      </c>
      <c r="B97" s="27"/>
      <c r="C97" s="28"/>
      <c r="D97" s="32">
        <f>D70+D86+D95</f>
        <v>82.94</v>
      </c>
      <c r="F97" s="27"/>
      <c r="G97" s="28"/>
      <c r="H97" s="32">
        <f>H70+H86+H95</f>
        <v>82.94</v>
      </c>
      <c r="J97" s="27"/>
      <c r="K97" s="28"/>
      <c r="L97" s="32">
        <f>L70+L86+L95</f>
        <v>82.94</v>
      </c>
      <c r="N97" s="27"/>
      <c r="O97" s="28"/>
      <c r="P97" s="32">
        <f>P70+P86+P95</f>
        <v>82.94</v>
      </c>
      <c r="R97" s="27"/>
      <c r="S97" s="28"/>
      <c r="T97" s="32">
        <f>T70+T86+T95</f>
        <v>82.94</v>
      </c>
      <c r="V97" s="27"/>
      <c r="W97" s="28"/>
      <c r="X97" s="32">
        <f>X70+X86+X95</f>
        <v>82.94</v>
      </c>
      <c r="Z97" s="27"/>
      <c r="AA97" s="28"/>
      <c r="AB97" s="32">
        <f>AB70+AB86+AB95</f>
        <v>88.080000000000013</v>
      </c>
      <c r="AD97" s="27"/>
      <c r="AE97" s="28"/>
      <c r="AF97" s="32">
        <f>AF70+AF86+AF95</f>
        <v>88.080000000000013</v>
      </c>
      <c r="AH97" s="27"/>
      <c r="AI97" s="28"/>
      <c r="AJ97" s="32">
        <f>AJ70+AJ86+AJ95</f>
        <v>88.080000000000013</v>
      </c>
      <c r="AL97" s="27"/>
      <c r="AM97" s="28"/>
      <c r="AN97" s="32">
        <f>AN70+AN86+AN95</f>
        <v>88.080000000000013</v>
      </c>
      <c r="AP97" s="27"/>
      <c r="AQ97" s="28"/>
      <c r="AR97" s="32">
        <f>AR70+AR86+AR95</f>
        <v>88.69</v>
      </c>
      <c r="AS97" s="176"/>
      <c r="AT97" s="27"/>
      <c r="AU97" s="28"/>
      <c r="AV97" s="32">
        <f>AV70+AV86+AV95</f>
        <v>93.820000000000007</v>
      </c>
    </row>
    <row r="99" spans="1:48" x14ac:dyDescent="0.55000000000000004">
      <c r="A99" t="s">
        <v>81</v>
      </c>
    </row>
  </sheetData>
  <mergeCells count="24">
    <mergeCell ref="B13:D13"/>
    <mergeCell ref="AL13:AN13"/>
    <mergeCell ref="AP13:AR13"/>
    <mergeCell ref="V13:X13"/>
    <mergeCell ref="F13:H13"/>
    <mergeCell ref="J13:L13"/>
    <mergeCell ref="N13:P13"/>
    <mergeCell ref="R13:T13"/>
    <mergeCell ref="AT13:AV13"/>
    <mergeCell ref="B61:D61"/>
    <mergeCell ref="F61:H61"/>
    <mergeCell ref="J61:L61"/>
    <mergeCell ref="N61:P61"/>
    <mergeCell ref="R61:T61"/>
    <mergeCell ref="V61:X61"/>
    <mergeCell ref="Z61:AB61"/>
    <mergeCell ref="AD61:AF61"/>
    <mergeCell ref="AH61:AJ61"/>
    <mergeCell ref="AL61:AN61"/>
    <mergeCell ref="AP61:AR61"/>
    <mergeCell ref="AT61:AV61"/>
    <mergeCell ref="Z13:AB13"/>
    <mergeCell ref="AD13:AF13"/>
    <mergeCell ref="AH13:AJ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3" id="{71C94205-C5EA-4EFA-9F2D-ECE145F75919}">
            <xm:f>OR(Input!$B46="Fixed",Input!$B46="Volumetric")</xm:f>
            <x14:dxf>
              <numFmt numFmtId="171" formatCode="&quot;$&quot;#,##0.000"/>
            </x14:dxf>
          </x14:cfRule>
          <x14:cfRule type="expression" priority="44" id="{A4C3D488-32CC-4E99-ACC2-167C786FE3B8}">
            <xm:f>Input!$B46="Percentage"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600ECE55-F101-493E-9D14-322A12AFF536}">
            <xm:f>OR(Input!$B62="Fixed",Input!$B62="Volumetric")</xm:f>
            <x14:dxf>
              <numFmt numFmtId="171" formatCode="&quot;$&quot;#,##0.000"/>
            </x14:dxf>
          </x14:cfRule>
          <x14:cfRule type="expression" priority="2" id="{145E9C2D-2954-40D1-9B16-6047754081E4}">
            <xm:f>Input!$B62="Percentage"</xm:f>
            <x14:dxf>
              <numFmt numFmtId="166" formatCode="0.000%"/>
            </x14:dxf>
          </x14:cfRule>
          <xm:sqref>AT73:AT85 B73:B85 F73:F85 J73:J85 N73:N85 R73:R85 V73:V85 Z73:Z85 AD73:AD85 AH73:AH85 AL73:AL85 AP73:AP85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Input!$A$28:$A$42</xm:f>
          </x14:formula1>
          <xm:sqref>B6 B54</xm:sqref>
        </x14:dataValidation>
        <x14:dataValidation type="list" allowBlank="1" showInputMessage="1" showErrorMessage="1">
          <x14:formula1>
            <xm:f>Input!$A$86:$A$92</xm:f>
          </x14:formula1>
          <xm:sqref>B59:B60 B11:B12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99"/>
  <sheetViews>
    <sheetView topLeftCell="A51" zoomScale="115" zoomScaleNormal="115" workbookViewId="0">
      <pane xSplit="1" topLeftCell="B1" activePane="topRight" state="frozen"/>
      <selection activeCell="B6" sqref="B6"/>
      <selection pane="topRight" activeCell="F75" sqref="F75"/>
    </sheetView>
  </sheetViews>
  <sheetFormatPr defaultRowHeight="14.4" x14ac:dyDescent="0.55000000000000004"/>
  <cols>
    <col min="1" max="1" width="30.41796875" customWidth="1"/>
    <col min="2" max="2" width="11.15625" customWidth="1"/>
    <col min="3" max="3" width="14.83984375" bestFit="1" customWidth="1"/>
    <col min="4" max="4" width="10.15625" bestFit="1" customWidth="1"/>
    <col min="5" max="5" width="0.83984375" customWidth="1"/>
    <col min="6" max="6" width="10" bestFit="1" customWidth="1"/>
    <col min="7" max="7" width="13.83984375" bestFit="1" customWidth="1"/>
    <col min="8" max="8" width="10.15625" bestFit="1" customWidth="1"/>
    <col min="9" max="9" width="0.83984375" customWidth="1"/>
    <col min="11" max="11" width="13.83984375" bestFit="1" customWidth="1"/>
    <col min="13" max="13" width="0.83984375" customWidth="1"/>
    <col min="14" max="14" width="9.41796875" customWidth="1"/>
    <col min="15" max="15" width="13.83984375" customWidth="1"/>
    <col min="16" max="16" width="9.15625" customWidth="1"/>
    <col min="17" max="17" width="0.83984375" customWidth="1"/>
    <col min="18" max="18" width="9.15625" customWidth="1"/>
    <col min="19" max="19" width="13.83984375" customWidth="1"/>
    <col min="20" max="20" width="9.15625" customWidth="1"/>
    <col min="21" max="21" width="0.83984375" customWidth="1"/>
    <col min="22" max="22" width="9.15625" customWidth="1"/>
    <col min="23" max="23" width="13.83984375" customWidth="1"/>
    <col min="24" max="24" width="9.15625" customWidth="1"/>
    <col min="25" max="25" width="0.83984375" customWidth="1"/>
    <col min="26" max="26" width="9.15625" customWidth="1"/>
    <col min="27" max="27" width="13.83984375" customWidth="1"/>
    <col min="28" max="28" width="9.15625" customWidth="1"/>
    <col min="29" max="29" width="0.83984375" customWidth="1"/>
    <col min="30" max="30" width="9.15625" customWidth="1"/>
    <col min="31" max="31" width="13.83984375" customWidth="1"/>
    <col min="32" max="32" width="9.15625" customWidth="1"/>
    <col min="33" max="33" width="0.83984375" customWidth="1"/>
    <col min="34" max="34" width="9.15625" customWidth="1"/>
    <col min="35" max="35" width="13.83984375" customWidth="1"/>
    <col min="36" max="36" width="9.15625" customWidth="1"/>
    <col min="37" max="37" width="0.83984375" customWidth="1"/>
    <col min="38" max="38" width="9.15625" customWidth="1"/>
    <col min="39" max="39" width="13.83984375" customWidth="1"/>
    <col min="40" max="40" width="9.15625" customWidth="1"/>
    <col min="41" max="41" width="0.83984375" customWidth="1"/>
    <col min="42" max="42" width="9.15625" customWidth="1"/>
    <col min="43" max="43" width="13.83984375" customWidth="1"/>
    <col min="44" max="46" width="9.15625" customWidth="1"/>
    <col min="47" max="47" width="13.83984375" customWidth="1"/>
    <col min="48" max="48" width="9.15625" customWidth="1"/>
  </cols>
  <sheetData>
    <row r="1" spans="1:48" x14ac:dyDescent="0.55000000000000004">
      <c r="A1" s="1" t="s">
        <v>0</v>
      </c>
    </row>
    <row r="2" spans="1:48" x14ac:dyDescent="0.55000000000000004">
      <c r="A2" s="1" t="s">
        <v>1</v>
      </c>
    </row>
    <row r="3" spans="1:48" x14ac:dyDescent="0.55000000000000004">
      <c r="A3" s="1" t="str">
        <f>Input!A86</f>
        <v>San Jose Water Company</v>
      </c>
    </row>
    <row r="4" spans="1:48" ht="14.7" thickBot="1" x14ac:dyDescent="0.6">
      <c r="A4" s="1"/>
    </row>
    <row r="5" spans="1:48" x14ac:dyDescent="0.55000000000000004">
      <c r="A5" s="11" t="s">
        <v>83</v>
      </c>
      <c r="B5" s="12">
        <f>Input!$B$10</f>
        <v>2023</v>
      </c>
    </row>
    <row r="6" spans="1:48" x14ac:dyDescent="0.55000000000000004">
      <c r="A6" s="13" t="s">
        <v>6</v>
      </c>
      <c r="B6" s="177" t="s">
        <v>14</v>
      </c>
      <c r="C6" t="s">
        <v>37</v>
      </c>
    </row>
    <row r="7" spans="1:48" x14ac:dyDescent="0.55000000000000004">
      <c r="A7" s="13" t="s">
        <v>41</v>
      </c>
      <c r="B7" s="177">
        <f>Input!C10</f>
        <v>11</v>
      </c>
    </row>
    <row r="8" spans="1:48" x14ac:dyDescent="0.55000000000000004">
      <c r="A8" s="13" t="s">
        <v>8</v>
      </c>
      <c r="B8" s="14" t="s">
        <v>24</v>
      </c>
    </row>
    <row r="9" spans="1:48" x14ac:dyDescent="0.55000000000000004">
      <c r="A9" s="13" t="s">
        <v>89</v>
      </c>
      <c r="B9" s="14" t="s">
        <v>27</v>
      </c>
    </row>
    <row r="10" spans="1:48" x14ac:dyDescent="0.55000000000000004">
      <c r="A10" s="13" t="s">
        <v>51</v>
      </c>
      <c r="B10" s="14" t="str">
        <f>VLOOKUP(B11,Input!$A$86:$C$92,2,FALSE)</f>
        <v>San Jose Water Company</v>
      </c>
    </row>
    <row r="11" spans="1:48" ht="14.7" thickBot="1" x14ac:dyDescent="0.6">
      <c r="A11" s="15" t="s">
        <v>28</v>
      </c>
      <c r="B11" s="35" t="str">
        <f>'Residential Bill_Current_avg'!B11</f>
        <v>San Jose Water Company</v>
      </c>
    </row>
    <row r="12" spans="1:48" ht="14.7" thickBot="1" x14ac:dyDescent="0.6">
      <c r="A12" s="34"/>
      <c r="B12" s="24"/>
    </row>
    <row r="13" spans="1:48" ht="14.7" thickBot="1" x14ac:dyDescent="0.6">
      <c r="A13" s="1"/>
      <c r="B13" s="209" t="str">
        <f>CONCATENATE("January"," ",$B$5)</f>
        <v>January 2023</v>
      </c>
      <c r="C13" s="210"/>
      <c r="D13" s="211"/>
      <c r="F13" s="209" t="str">
        <f>CONCATENATE("February"," ",$B$5)</f>
        <v>February 2023</v>
      </c>
      <c r="G13" s="210"/>
      <c r="H13" s="211"/>
      <c r="J13" s="209" t="str">
        <f>CONCATENATE("March"," ",$B$5)</f>
        <v>March 2023</v>
      </c>
      <c r="K13" s="210"/>
      <c r="L13" s="211"/>
      <c r="N13" s="209" t="str">
        <f>CONCATENATE("April"," ",$B$5)</f>
        <v>April 2023</v>
      </c>
      <c r="O13" s="210"/>
      <c r="P13" s="211"/>
      <c r="R13" s="209" t="str">
        <f>CONCATENATE("May"," ",$B$5)</f>
        <v>May 2023</v>
      </c>
      <c r="S13" s="210"/>
      <c r="T13" s="211"/>
      <c r="V13" s="209" t="str">
        <f>CONCATENATE("June"," ",$B$5)</f>
        <v>June 2023</v>
      </c>
      <c r="W13" s="210"/>
      <c r="X13" s="211"/>
      <c r="Z13" s="209" t="str">
        <f>CONCATENATE("July"," ",$B$5)</f>
        <v>July 2023</v>
      </c>
      <c r="AA13" s="210"/>
      <c r="AB13" s="211"/>
      <c r="AD13" s="209" t="str">
        <f>CONCATENATE("August"," ",$B$5)</f>
        <v>August 2023</v>
      </c>
      <c r="AE13" s="210"/>
      <c r="AF13" s="211"/>
      <c r="AH13" s="209" t="str">
        <f>CONCATENATE("September"," ",$B$5)</f>
        <v>September 2023</v>
      </c>
      <c r="AI13" s="210"/>
      <c r="AJ13" s="211"/>
      <c r="AL13" s="209" t="str">
        <f>CONCATENATE("October"," ",$B$5)</f>
        <v>October 2023</v>
      </c>
      <c r="AM13" s="210"/>
      <c r="AN13" s="211"/>
      <c r="AP13" s="209" t="str">
        <f>CONCATENATE("November"," ",$B$5)</f>
        <v>November 2023</v>
      </c>
      <c r="AQ13" s="210"/>
      <c r="AR13" s="211"/>
      <c r="AS13" s="171"/>
      <c r="AT13" s="209" t="str">
        <f>CONCATENATE("December"," ",$B$5)</f>
        <v>December 2023</v>
      </c>
      <c r="AU13" s="210"/>
      <c r="AV13" s="211"/>
    </row>
    <row r="14" spans="1:48" x14ac:dyDescent="0.55000000000000004">
      <c r="A14" s="1" t="s">
        <v>5</v>
      </c>
      <c r="B14" s="16"/>
      <c r="C14" s="17"/>
      <c r="D14" s="18">
        <f>INDEX(Input!$C$28:$AL$42,MATCH('Residential Bills_Yr 2_avg'!$B$6,Input!$A$28:$A$42,0),MATCH('Residential Bills_Yr 2_avg'!B$13,Input!$C$27:$AL$27,0))</f>
        <v>53.02</v>
      </c>
      <c r="F14" s="16"/>
      <c r="G14" s="17"/>
      <c r="H14" s="18">
        <f>INDEX(Input!$C$28:$AL$42,MATCH('Residential Bills_Yr 2_avg'!$B$6,Input!$A$28:$A$42,0),MATCH('Residential Bills_Yr 2_avg'!F$13,Input!$C$27:$AL$27,0))</f>
        <v>53.02</v>
      </c>
      <c r="J14" s="16"/>
      <c r="K14" s="17"/>
      <c r="L14" s="18">
        <f>INDEX(Input!$C$28:$AL$42,MATCH('Residential Bills_Yr 2_avg'!$B$6,Input!$A$28:$A$42,0),MATCH('Residential Bills_Yr 2_avg'!J$13,Input!$C$27:$AL$27,0))</f>
        <v>53.02</v>
      </c>
      <c r="N14" s="16"/>
      <c r="O14" s="17"/>
      <c r="P14" s="18">
        <f>INDEX(Input!$C$28:$AL$42,MATCH('Residential Bills_Yr 2_avg'!$B$6,Input!$A$28:$A$42,0),MATCH('Residential Bills_Yr 2_avg'!N$13,Input!$C$27:$AL$27,0))</f>
        <v>53.02</v>
      </c>
      <c r="R14" s="16"/>
      <c r="S14" s="17"/>
      <c r="T14" s="18">
        <f>INDEX(Input!$C$28:$AL$42,MATCH('Residential Bills_Yr 2_avg'!$B$6,Input!$A$28:$A$42,0),MATCH('Residential Bills_Yr 2_avg'!R$13,Input!$C$27:$AL$27,0))</f>
        <v>53.02</v>
      </c>
      <c r="V14" s="16"/>
      <c r="W14" s="17"/>
      <c r="X14" s="18">
        <f>INDEX(Input!$C$28:$AL$42,MATCH('Residential Bills_Yr 2_avg'!$B$6,Input!$A$28:$A$42,0),MATCH('Residential Bills_Yr 2_avg'!V$13,Input!$C$27:$AL$27,0))</f>
        <v>53.02</v>
      </c>
      <c r="Z14" s="16"/>
      <c r="AA14" s="17"/>
      <c r="AB14" s="18">
        <f>INDEX(Input!$C$28:$AL$42,MATCH('Residential Bills_Yr 2_avg'!$B$6,Input!$A$28:$A$42,0),MATCH('Residential Bills_Yr 2_avg'!Z$13,Input!$C$27:$AL$27,0))</f>
        <v>53.02</v>
      </c>
      <c r="AD14" s="16"/>
      <c r="AE14" s="17"/>
      <c r="AF14" s="18">
        <f>INDEX(Input!$C$28:$AL$42,MATCH('Residential Bills_Yr 2_avg'!$B$6,Input!$A$28:$A$42,0),MATCH('Residential Bills_Yr 2_avg'!AD$13,Input!$C$27:$AL$27,0))</f>
        <v>53.02</v>
      </c>
      <c r="AH14" s="16"/>
      <c r="AI14" s="17"/>
      <c r="AJ14" s="18">
        <f>INDEX(Input!$C$28:$AL$42,MATCH('Residential Bills_Yr 2_avg'!$B$6,Input!$A$28:$A$42,0),MATCH('Residential Bills_Yr 2_avg'!AH$13,Input!$C$27:$AL$27,0))</f>
        <v>53.02</v>
      </c>
      <c r="AL14" s="16"/>
      <c r="AM14" s="17"/>
      <c r="AN14" s="18">
        <f>INDEX(Input!$C$28:$AL$42,MATCH('Residential Bills_Yr 2_avg'!$B$6,Input!$A$28:$A$42,0),MATCH('Residential Bills_Yr 2_avg'!AL$13,Input!$C$27:$AL$27,0))</f>
        <v>53.02</v>
      </c>
      <c r="AP14" s="16"/>
      <c r="AQ14" s="17"/>
      <c r="AR14" s="18">
        <f>INDEX(Input!$C$28:$AL$42,MATCH('Residential Bills_Yr 2_avg'!$B$6,Input!$A$28:$A$42,0),MATCH('Residential Bills_Yr 2_avg'!AP$13,Input!$C$27:$AL$27,0))</f>
        <v>53.02</v>
      </c>
      <c r="AS14" s="175"/>
      <c r="AT14" s="16"/>
      <c r="AU14" s="17"/>
      <c r="AV14" s="18">
        <f>INDEX(Input!$C$28:$AL$42,MATCH('Residential Bills_Yr 2_avg'!$B$6,Input!$A$28:$A$42,0),MATCH('Residential Bills_Yr 2_avg'!AT$13,Input!$C$27:$AL$27,0))</f>
        <v>53.02</v>
      </c>
    </row>
    <row r="15" spans="1:48" x14ac:dyDescent="0.55000000000000004">
      <c r="B15" s="16"/>
      <c r="C15" s="17"/>
      <c r="D15" s="19"/>
      <c r="F15" s="16"/>
      <c r="G15" s="17"/>
      <c r="H15" s="19"/>
      <c r="J15" s="16"/>
      <c r="K15" s="17"/>
      <c r="L15" s="19"/>
      <c r="N15" s="16"/>
      <c r="O15" s="17"/>
      <c r="P15" s="19"/>
      <c r="R15" s="16"/>
      <c r="S15" s="17"/>
      <c r="T15" s="19"/>
      <c r="V15" s="16"/>
      <c r="W15" s="17"/>
      <c r="X15" s="19"/>
      <c r="Z15" s="16"/>
      <c r="AA15" s="17"/>
      <c r="AB15" s="19"/>
      <c r="AD15" s="16"/>
      <c r="AE15" s="17"/>
      <c r="AF15" s="19"/>
      <c r="AH15" s="16"/>
      <c r="AI15" s="17"/>
      <c r="AJ15" s="19"/>
      <c r="AL15" s="16"/>
      <c r="AM15" s="17"/>
      <c r="AN15" s="19"/>
      <c r="AP15" s="16"/>
      <c r="AQ15" s="17"/>
      <c r="AR15" s="19"/>
      <c r="AS15" s="17"/>
      <c r="AT15" s="16"/>
      <c r="AU15" s="17"/>
      <c r="AV15" s="19"/>
    </row>
    <row r="16" spans="1:48" x14ac:dyDescent="0.55000000000000004">
      <c r="A16" s="1" t="s">
        <v>33</v>
      </c>
      <c r="B16" s="20" t="s">
        <v>29</v>
      </c>
      <c r="C16" s="21" t="s">
        <v>7</v>
      </c>
      <c r="D16" s="22" t="s">
        <v>30</v>
      </c>
      <c r="F16" s="20" t="s">
        <v>29</v>
      </c>
      <c r="G16" s="21" t="s">
        <v>7</v>
      </c>
      <c r="H16" s="22" t="s">
        <v>30</v>
      </c>
      <c r="J16" s="20" t="s">
        <v>29</v>
      </c>
      <c r="K16" s="21" t="s">
        <v>7</v>
      </c>
      <c r="L16" s="22" t="s">
        <v>30</v>
      </c>
      <c r="N16" s="20" t="s">
        <v>29</v>
      </c>
      <c r="O16" s="21" t="s">
        <v>7</v>
      </c>
      <c r="P16" s="22" t="s">
        <v>30</v>
      </c>
      <c r="R16" s="20" t="s">
        <v>29</v>
      </c>
      <c r="S16" s="21" t="s">
        <v>7</v>
      </c>
      <c r="T16" s="22" t="s">
        <v>30</v>
      </c>
      <c r="V16" s="20" t="s">
        <v>29</v>
      </c>
      <c r="W16" s="21" t="s">
        <v>7</v>
      </c>
      <c r="X16" s="22" t="s">
        <v>30</v>
      </c>
      <c r="Z16" s="20" t="s">
        <v>29</v>
      </c>
      <c r="AA16" s="21" t="s">
        <v>7</v>
      </c>
      <c r="AB16" s="22" t="s">
        <v>30</v>
      </c>
      <c r="AD16" s="20" t="s">
        <v>29</v>
      </c>
      <c r="AE16" s="21" t="s">
        <v>7</v>
      </c>
      <c r="AF16" s="22" t="s">
        <v>30</v>
      </c>
      <c r="AH16" s="20" t="s">
        <v>29</v>
      </c>
      <c r="AI16" s="21" t="s">
        <v>7</v>
      </c>
      <c r="AJ16" s="22" t="s">
        <v>30</v>
      </c>
      <c r="AL16" s="20" t="s">
        <v>29</v>
      </c>
      <c r="AM16" s="21" t="s">
        <v>7</v>
      </c>
      <c r="AN16" s="22" t="s">
        <v>30</v>
      </c>
      <c r="AP16" s="20" t="s">
        <v>29</v>
      </c>
      <c r="AQ16" s="21" t="s">
        <v>7</v>
      </c>
      <c r="AR16" s="22" t="s">
        <v>30</v>
      </c>
      <c r="AS16" s="170"/>
      <c r="AT16" s="20" t="s">
        <v>29</v>
      </c>
      <c r="AU16" s="21" t="s">
        <v>7</v>
      </c>
      <c r="AV16" s="22" t="s">
        <v>30</v>
      </c>
    </row>
    <row r="17" spans="1:48" x14ac:dyDescent="0.55000000000000004">
      <c r="A17" t="str">
        <f>Input!A21</f>
        <v>Tier 1</v>
      </c>
      <c r="B17" s="23">
        <f>INDEX(Input!$C$21:$AL$25,MATCH('Residential Bills_Yr 2_avg'!$A17,Input!$A$21:$A$25,0),MATCH('Residential Bills_Yr 2_avg'!B$13,Input!$C$20:$AL$20,0))</f>
        <v>4.1460999999999997</v>
      </c>
      <c r="C17" s="24">
        <f>IF($B$7&gt;Input!F94,Input!F94,'Residential Bills_Yr 2_avg'!$B$7)</f>
        <v>6</v>
      </c>
      <c r="D17" s="183">
        <f>ROUND(IFERROR(B17*C17," "),2)</f>
        <v>24.88</v>
      </c>
      <c r="F17" s="23">
        <f>INDEX(Input!$C$21:$AL$25,MATCH('Residential Bills_Yr 2_avg'!$A17,Input!$A$21:$A$25,0),MATCH('Residential Bills_Yr 2_avg'!F$13,Input!$C$20:$AL$20,0))</f>
        <v>4.1460999999999997</v>
      </c>
      <c r="G17" s="24">
        <f>IF($B$7&gt;Input!G94,Input!G94,'Residential Bills_Yr 2_avg'!$B$7)</f>
        <v>6</v>
      </c>
      <c r="H17" s="183">
        <f>ROUND(IFERROR(F17*G17," "),2)</f>
        <v>24.88</v>
      </c>
      <c r="J17" s="23">
        <f>INDEX(Input!$C$21:$AL$25,MATCH('Residential Bills_Yr 2_avg'!$A17,Input!$A$21:$A$25,0),MATCH('Residential Bills_Yr 2_avg'!J$13,Input!$C$20:$AL$20,0))</f>
        <v>4.1460999999999997</v>
      </c>
      <c r="K17" s="24">
        <f>IF($B$7&gt;Input!H94,Input!H94,'Residential Bills_Yr 2_avg'!$B$7)</f>
        <v>6</v>
      </c>
      <c r="L17" s="183">
        <f>ROUND(IFERROR(J17*K17," "),2)</f>
        <v>24.88</v>
      </c>
      <c r="N17" s="23">
        <f>INDEX(Input!$C$21:$AL$25,MATCH('Residential Bills_Yr 2_avg'!$A17,Input!$A$21:$A$25,0),MATCH('Residential Bills_Yr 2_avg'!N$13,Input!$C$20:$AL$20,0))</f>
        <v>4.1460999999999997</v>
      </c>
      <c r="O17" s="24">
        <f>IF($B$7&gt;Input!I94,Input!I94,'Residential Bills_Yr 2_avg'!$B$7)</f>
        <v>6</v>
      </c>
      <c r="P17" s="183">
        <f>ROUND(IFERROR(N17*O17," "),2)</f>
        <v>24.88</v>
      </c>
      <c r="R17" s="23">
        <f>INDEX(Input!$C$21:$AL$25,MATCH('Residential Bills_Yr 2_avg'!$A17,Input!$A$21:$A$25,0),MATCH('Residential Bills_Yr 2_avg'!R$13,Input!$C$20:$AL$20,0))</f>
        <v>4.1460999999999997</v>
      </c>
      <c r="S17" s="24">
        <f>IF($B$7&gt;Input!J94,Input!J94,'Residential Bills_Yr 2_avg'!$B$7)</f>
        <v>6</v>
      </c>
      <c r="T17" s="183">
        <f>ROUND(IFERROR(R17*S17," "),2)</f>
        <v>24.88</v>
      </c>
      <c r="V17" s="23">
        <f>INDEX(Input!$C$21:$AL$25,MATCH('Residential Bills_Yr 2_avg'!$A17,Input!$A$21:$A$25,0),MATCH('Residential Bills_Yr 2_avg'!V$13,Input!$C$20:$AL$20,0))</f>
        <v>4.1460999999999997</v>
      </c>
      <c r="W17" s="24">
        <f>IF($B$7&gt;Input!K94,Input!K94,'Residential Bills_Yr 2_avg'!$B$7)</f>
        <v>6</v>
      </c>
      <c r="X17" s="183">
        <f>ROUND(IFERROR(V17*W17," "),2)</f>
        <v>24.88</v>
      </c>
      <c r="Z17" s="23">
        <f>INDEX(Input!$C$21:$AL$25,MATCH('Residential Bills_Yr 2_avg'!$A17,Input!$A$21:$A$25,0),MATCH('Residential Bills_Yr 2_avg'!Z$13,Input!$C$20:$AL$20,0))</f>
        <v>4.1460999999999997</v>
      </c>
      <c r="AA17" s="24">
        <f>IF($B$7&gt;Input!L94,Input!L94,'Residential Bills_Yr 2_avg'!$B$7)</f>
        <v>6</v>
      </c>
      <c r="AB17" s="183">
        <f>ROUND(IFERROR(Z17*AA17," "),2)</f>
        <v>24.88</v>
      </c>
      <c r="AD17" s="23">
        <f>INDEX(Input!$C$21:$AL$25,MATCH('Residential Bills_Yr 2_avg'!$A17,Input!$A$21:$A$25,0),MATCH('Residential Bills_Yr 2_avg'!AD$13,Input!$C$20:$AL$20,0))</f>
        <v>4.1460999999999997</v>
      </c>
      <c r="AE17" s="24">
        <f>IF($B$7&gt;Input!M94,Input!M94,'Residential Bills_Yr 2_avg'!$B$7)</f>
        <v>6</v>
      </c>
      <c r="AF17" s="183">
        <f>ROUND(IFERROR(AD17*AE17," "),2)</f>
        <v>24.88</v>
      </c>
      <c r="AH17" s="23">
        <f>INDEX(Input!$C$21:$AL$25,MATCH('Residential Bills_Yr 2_avg'!$A17,Input!$A$21:$A$25,0),MATCH('Residential Bills_Yr 2_avg'!AH$13,Input!$C$20:$AL$20,0))</f>
        <v>4.1460999999999997</v>
      </c>
      <c r="AI17" s="24">
        <f>IF($B$7&gt;Input!N94,Input!N94,'Residential Bills_Yr 2_avg'!$B$7)</f>
        <v>6</v>
      </c>
      <c r="AJ17" s="183">
        <f>ROUND(IFERROR(AH17*AI17," "),2)</f>
        <v>24.88</v>
      </c>
      <c r="AL17" s="23">
        <f>INDEX(Input!$C$21:$AL$25,MATCH('Residential Bills_Yr 2_avg'!$A17,Input!$A$21:$A$25,0),MATCH('Residential Bills_Yr 2_avg'!AL$13,Input!$C$20:$AL$20,0))</f>
        <v>4.1460999999999997</v>
      </c>
      <c r="AM17" s="24">
        <f>IF($B$7&gt;Input!O94,Input!O94,'Residential Bills_Yr 2_avg'!$B$7)</f>
        <v>6</v>
      </c>
      <c r="AN17" s="183">
        <f>ROUND(IFERROR(AL17*AM17," "),2)</f>
        <v>24.88</v>
      </c>
      <c r="AP17" s="23">
        <f>INDEX(Input!$C$21:$AL$25,MATCH('Residential Bills_Yr 2_avg'!$A17,Input!$A$21:$A$25,0),MATCH('Residential Bills_Yr 2_avg'!AP$13,Input!$C$20:$AL$20,0))</f>
        <v>4.1460999999999997</v>
      </c>
      <c r="AQ17" s="24">
        <f>IF($B$7&gt;Input!P94,Input!P94,'Residential Bills_Yr 2_avg'!$B$7)</f>
        <v>6</v>
      </c>
      <c r="AR17" s="183">
        <f>ROUND(IFERROR(AP17*AQ17," "),2)</f>
        <v>24.88</v>
      </c>
      <c r="AS17" s="30"/>
      <c r="AT17" s="23">
        <f>INDEX(Input!$C$21:$AL$25,MATCH('Residential Bills_Yr 2_avg'!$A17,Input!$A$21:$A$25,0),MATCH('Residential Bills_Yr 2_avg'!AT$13,Input!$C$20:$AL$20,0))</f>
        <v>4.1460999999999997</v>
      </c>
      <c r="AU17" s="24">
        <f>IF($B$7&gt;Input!Q94,Input!Q94,'Residential Bills_Yr 2_avg'!$B$7)</f>
        <v>6</v>
      </c>
      <c r="AV17" s="183">
        <f>ROUND(IFERROR(AT17*AU17," "),2)</f>
        <v>24.88</v>
      </c>
    </row>
    <row r="18" spans="1:48" x14ac:dyDescent="0.55000000000000004">
      <c r="A18" t="str">
        <f>Input!A22</f>
        <v>Tier 2</v>
      </c>
      <c r="B18" s="23">
        <f>INDEX(Input!$C$21:$AL$25,MATCH('Residential Bills_Yr 2_avg'!$A18,Input!$A$21:$A$25,0),MATCH('Residential Bills_Yr 2_avg'!B$13,Input!$C$20:$AL$20,0))</f>
        <v>5.9352</v>
      </c>
      <c r="C18" s="24">
        <f>IF(($B$7-C17)&gt;Input!F95,Input!F95,($B$7-C17))</f>
        <v>5</v>
      </c>
      <c r="D18" s="183">
        <f>ROUND(IFERROR(B18*C18," "),2)</f>
        <v>29.68</v>
      </c>
      <c r="F18" s="23">
        <f>INDEX(Input!$C$21:$AL$25,MATCH('Residential Bills_Yr 2_avg'!$A18,Input!$A$21:$A$25,0),MATCH('Residential Bills_Yr 2_avg'!F$13,Input!$C$20:$AL$20,0))</f>
        <v>5.9352</v>
      </c>
      <c r="G18" s="24">
        <f>IF(($B$7-G17)&gt;Input!G95,Input!G95,($B$7-G17))</f>
        <v>5</v>
      </c>
      <c r="H18" s="183">
        <f>ROUND(IFERROR(F18*G18," "),2)</f>
        <v>29.68</v>
      </c>
      <c r="J18" s="23">
        <f>INDEX(Input!$C$21:$AL$25,MATCH('Residential Bills_Yr 2_avg'!$A18,Input!$A$21:$A$25,0),MATCH('Residential Bills_Yr 2_avg'!J$13,Input!$C$20:$AL$20,0))</f>
        <v>5.9352</v>
      </c>
      <c r="K18" s="24">
        <f>IF(($B$7-K17)&gt;Input!H95,Input!H95,($B$7-K17))</f>
        <v>5</v>
      </c>
      <c r="L18" s="183">
        <f>ROUND(IFERROR(J18*K18," "),2)</f>
        <v>29.68</v>
      </c>
      <c r="N18" s="23">
        <f>INDEX(Input!$C$21:$AL$25,MATCH('Residential Bills_Yr 2_avg'!$A18,Input!$A$21:$A$25,0),MATCH('Residential Bills_Yr 2_avg'!N$13,Input!$C$20:$AL$20,0))</f>
        <v>5.9352</v>
      </c>
      <c r="O18" s="24">
        <f>IF(($B$7-O17)&gt;Input!I95,Input!I95,($B$7-O17))</f>
        <v>5</v>
      </c>
      <c r="P18" s="183">
        <f>ROUND(IFERROR(N18*O18," "),2)</f>
        <v>29.68</v>
      </c>
      <c r="R18" s="23">
        <f>INDEX(Input!$C$21:$AL$25,MATCH('Residential Bills_Yr 2_avg'!$A18,Input!$A$21:$A$25,0),MATCH('Residential Bills_Yr 2_avg'!R$13,Input!$C$20:$AL$20,0))</f>
        <v>5.9352</v>
      </c>
      <c r="S18" s="24">
        <f>IF(($B$7-S17)&gt;Input!J95,Input!J95,($B$7-S17))</f>
        <v>5</v>
      </c>
      <c r="T18" s="183">
        <f>ROUND(IFERROR(R18*S18," "),2)</f>
        <v>29.68</v>
      </c>
      <c r="V18" s="23">
        <f>INDEX(Input!$C$21:$AL$25,MATCH('Residential Bills_Yr 2_avg'!$A18,Input!$A$21:$A$25,0),MATCH('Residential Bills_Yr 2_avg'!V$13,Input!$C$20:$AL$20,0))</f>
        <v>5.9352</v>
      </c>
      <c r="W18" s="24">
        <f>IF(($B$7-W17)&gt;Input!K95,Input!K95,($B$7-W17))</f>
        <v>5</v>
      </c>
      <c r="X18" s="183">
        <f>ROUND(IFERROR(V18*W18," "),2)</f>
        <v>29.68</v>
      </c>
      <c r="Z18" s="23">
        <f>INDEX(Input!$C$21:$AL$25,MATCH('Residential Bills_Yr 2_avg'!$A18,Input!$A$21:$A$25,0),MATCH('Residential Bills_Yr 2_avg'!Z$13,Input!$C$20:$AL$20,0))</f>
        <v>5.9352</v>
      </c>
      <c r="AA18" s="24">
        <f>IF(($B$7-AA17)&gt;Input!L95,Input!L95,($B$7-AA17))</f>
        <v>5</v>
      </c>
      <c r="AB18" s="183">
        <f>ROUND(IFERROR(Z18*AA18," "),2)</f>
        <v>29.68</v>
      </c>
      <c r="AD18" s="23">
        <f>INDEX(Input!$C$21:$AL$25,MATCH('Residential Bills_Yr 2_avg'!$A18,Input!$A$21:$A$25,0),MATCH('Residential Bills_Yr 2_avg'!AD$13,Input!$C$20:$AL$20,0))</f>
        <v>5.9352</v>
      </c>
      <c r="AE18" s="24">
        <f>IF(($B$7-AE17)&gt;Input!M95,Input!M95,($B$7-AE17))</f>
        <v>5</v>
      </c>
      <c r="AF18" s="183">
        <f>ROUND(IFERROR(AD18*AE18," "),2)</f>
        <v>29.68</v>
      </c>
      <c r="AH18" s="23">
        <f>INDEX(Input!$C$21:$AL$25,MATCH('Residential Bills_Yr 2_avg'!$A18,Input!$A$21:$A$25,0),MATCH('Residential Bills_Yr 2_avg'!AH$13,Input!$C$20:$AL$20,0))</f>
        <v>5.9352</v>
      </c>
      <c r="AI18" s="24">
        <f>IF(($B$7-AI17)&gt;Input!N95,Input!N95,($B$7-AI17))</f>
        <v>5</v>
      </c>
      <c r="AJ18" s="183">
        <f>ROUND(IFERROR(AH18*AI18," "),2)</f>
        <v>29.68</v>
      </c>
      <c r="AL18" s="23">
        <f>INDEX(Input!$C$21:$AL$25,MATCH('Residential Bills_Yr 2_avg'!$A18,Input!$A$21:$A$25,0),MATCH('Residential Bills_Yr 2_avg'!AL$13,Input!$C$20:$AL$20,0))</f>
        <v>5.9352</v>
      </c>
      <c r="AM18" s="24">
        <f>IF(($B$7-AM17)&gt;Input!O95,Input!O95,($B$7-AM17))</f>
        <v>5</v>
      </c>
      <c r="AN18" s="183">
        <f>ROUND(IFERROR(AL18*AM18," "),2)</f>
        <v>29.68</v>
      </c>
      <c r="AP18" s="23">
        <f>INDEX(Input!$C$21:$AL$25,MATCH('Residential Bills_Yr 2_avg'!$A18,Input!$A$21:$A$25,0),MATCH('Residential Bills_Yr 2_avg'!AP$13,Input!$C$20:$AL$20,0))</f>
        <v>5.9352</v>
      </c>
      <c r="AQ18" s="24">
        <f>IF(($B$7-AQ17)&gt;Input!P95,Input!P95,($B$7-AQ17))</f>
        <v>5</v>
      </c>
      <c r="AR18" s="183">
        <f>ROUND(IFERROR(AP18*AQ18," "),2)</f>
        <v>29.68</v>
      </c>
      <c r="AS18" s="30"/>
      <c r="AT18" s="23">
        <f>INDEX(Input!$C$21:$AL$25,MATCH('Residential Bills_Yr 2_avg'!$A18,Input!$A$21:$A$25,0),MATCH('Residential Bills_Yr 2_avg'!AT$13,Input!$C$20:$AL$20,0))</f>
        <v>5.9352</v>
      </c>
      <c r="AU18" s="24">
        <f>IF(($B$7-AU17)&gt;Input!Q95,Input!Q95,($B$7-AU17))</f>
        <v>5</v>
      </c>
      <c r="AV18" s="183">
        <f>ROUND(IFERROR(AT18*AU18," "),2)</f>
        <v>29.68</v>
      </c>
    </row>
    <row r="19" spans="1:48" x14ac:dyDescent="0.55000000000000004">
      <c r="A19" t="str">
        <f>Input!A23</f>
        <v>Tier 3</v>
      </c>
      <c r="B19" s="23">
        <f>INDEX(Input!$C$21:$AL$25,MATCH('Residential Bills_Yr 2_avg'!$A19,Input!$A$21:$A$25,0),MATCH('Residential Bills_Yr 2_avg'!B$13,Input!$C$20:$AL$20,0))</f>
        <v>9.1687999999999992</v>
      </c>
      <c r="C19" s="24">
        <f>IF(OR(Input!F92="Tier 4",Input!F92="Tier 5"),IF(('Residential Bills_Yr 2_avg'!$B$7-'Residential Bills_Yr 2_avg'!C17-'Residential Bills_Yr 2_avg'!C18)&gt;Input!F96,Input!F96,('Residential Bills_Yr 2_avg'!$B$7-'Residential Bills_Yr 2_avg'!C17-'Residential Bills_Yr 2_avg'!C18)),('Residential Bills_Yr 2_avg'!$B$7-'Residential Bills_Yr 2_avg'!C17-'Residential Bills_Yr 2_avg'!C18))</f>
        <v>0</v>
      </c>
      <c r="D19" s="183">
        <f>ROUND(IFERROR(B19*C19," "),2)</f>
        <v>0</v>
      </c>
      <c r="F19" s="23">
        <f>INDEX(Input!$C$21:$AL$25,MATCH('Residential Bills_Yr 2_avg'!$A19,Input!$A$21:$A$25,0),MATCH('Residential Bills_Yr 2_avg'!F$13,Input!$C$20:$AL$20,0))</f>
        <v>9.1687999999999992</v>
      </c>
      <c r="G19" s="24">
        <f>IF(OR(Input!G92="Tier 4",Input!G92="Tier 5"),IF(('Residential Bills_Yr 2_avg'!$B$7-'Residential Bills_Yr 2_avg'!G17-'Residential Bills_Yr 2_avg'!G18)&gt;Input!G96,Input!G96,('Residential Bills_Yr 2_avg'!$B$7-'Residential Bills_Yr 2_avg'!G17-'Residential Bills_Yr 2_avg'!G18)),('Residential Bills_Yr 2_avg'!$B$7-'Residential Bills_Yr 2_avg'!G17-'Residential Bills_Yr 2_avg'!G18))</f>
        <v>0</v>
      </c>
      <c r="H19" s="183">
        <f>ROUND(IFERROR(F19*G19," "),2)</f>
        <v>0</v>
      </c>
      <c r="J19" s="23">
        <f>INDEX(Input!$C$21:$AL$25,MATCH('Residential Bills_Yr 2_avg'!$A19,Input!$A$21:$A$25,0),MATCH('Residential Bills_Yr 2_avg'!J$13,Input!$C$20:$AL$20,0))</f>
        <v>9.1687999999999992</v>
      </c>
      <c r="K19" s="24">
        <f>IF(OR(Input!H92="Tier 4",Input!H92="Tier 5"),IF(('Residential Bills_Yr 2_avg'!$B$7-'Residential Bills_Yr 2_avg'!K17-'Residential Bills_Yr 2_avg'!K18)&gt;Input!H96,Input!H96,('Residential Bills_Yr 2_avg'!$B$7-'Residential Bills_Yr 2_avg'!K17-'Residential Bills_Yr 2_avg'!K18)),('Residential Bills_Yr 2_avg'!$B$7-'Residential Bills_Yr 2_avg'!K17-'Residential Bills_Yr 2_avg'!K18))</f>
        <v>0</v>
      </c>
      <c r="L19" s="183">
        <f>ROUND(IFERROR(J19*K19," "),2)</f>
        <v>0</v>
      </c>
      <c r="N19" s="23">
        <f>INDEX(Input!$C$21:$AL$25,MATCH('Residential Bills_Yr 2_avg'!$A19,Input!$A$21:$A$25,0),MATCH('Residential Bills_Yr 2_avg'!N$13,Input!$C$20:$AL$20,0))</f>
        <v>9.1687999999999992</v>
      </c>
      <c r="O19" s="24">
        <f>IF(OR(Input!I92="Tier 4",Input!I92="Tier 5"),IF(('Residential Bills_Yr 2_avg'!$B$7-'Residential Bills_Yr 2_avg'!O17-'Residential Bills_Yr 2_avg'!O18)&gt;Input!I96,Input!I96,('Residential Bills_Yr 2_avg'!$B$7-'Residential Bills_Yr 2_avg'!O17-'Residential Bills_Yr 2_avg'!O18)),('Residential Bills_Yr 2_avg'!$B$7-'Residential Bills_Yr 2_avg'!O17-'Residential Bills_Yr 2_avg'!O18))</f>
        <v>0</v>
      </c>
      <c r="P19" s="183">
        <f>ROUND(IFERROR(N19*O19," "),2)</f>
        <v>0</v>
      </c>
      <c r="R19" s="23">
        <f>INDEX(Input!$C$21:$AL$25,MATCH('Residential Bills_Yr 2_avg'!$A19,Input!$A$21:$A$25,0),MATCH('Residential Bills_Yr 2_avg'!R$13,Input!$C$20:$AL$20,0))</f>
        <v>9.1687999999999992</v>
      </c>
      <c r="S19" s="24">
        <f>IF(OR(Input!J92="Tier 4",Input!J92="Tier 5"),IF(('Residential Bills_Yr 2_avg'!$B$7-'Residential Bills_Yr 2_avg'!S17-'Residential Bills_Yr 2_avg'!S18)&gt;Input!J96,Input!J96,('Residential Bills_Yr 2_avg'!$B$7-'Residential Bills_Yr 2_avg'!S17-'Residential Bills_Yr 2_avg'!S18)),('Residential Bills_Yr 2_avg'!$B$7-'Residential Bills_Yr 2_avg'!S17-'Residential Bills_Yr 2_avg'!S18))</f>
        <v>0</v>
      </c>
      <c r="T19" s="183">
        <f>ROUND(IFERROR(R19*S19," "),2)</f>
        <v>0</v>
      </c>
      <c r="V19" s="23">
        <f>INDEX(Input!$C$21:$AL$25,MATCH('Residential Bills_Yr 2_avg'!$A19,Input!$A$21:$A$25,0),MATCH('Residential Bills_Yr 2_avg'!V$13,Input!$C$20:$AL$20,0))</f>
        <v>9.1687999999999992</v>
      </c>
      <c r="W19" s="24">
        <f>IF(OR(Input!K92="Tier 4",Input!K92="Tier 5"),IF(('Residential Bills_Yr 2_avg'!$B$7-'Residential Bills_Yr 2_avg'!W17-'Residential Bills_Yr 2_avg'!W18)&gt;Input!K96,Input!K96,('Residential Bills_Yr 2_avg'!$B$7-'Residential Bills_Yr 2_avg'!W17-'Residential Bills_Yr 2_avg'!W18)),('Residential Bills_Yr 2_avg'!$B$7-'Residential Bills_Yr 2_avg'!W17-'Residential Bills_Yr 2_avg'!W18))</f>
        <v>0</v>
      </c>
      <c r="X19" s="183">
        <f>ROUND(IFERROR(V19*W19," "),2)</f>
        <v>0</v>
      </c>
      <c r="Z19" s="23">
        <f>INDEX(Input!$C$21:$AL$25,MATCH('Residential Bills_Yr 2_avg'!$A19,Input!$A$21:$A$25,0),MATCH('Residential Bills_Yr 2_avg'!Z$13,Input!$C$20:$AL$20,0))</f>
        <v>9.1687999999999992</v>
      </c>
      <c r="AA19" s="24">
        <f>IF(OR(Input!L92="Tier 4",Input!L92="Tier 5"),IF(('Residential Bills_Yr 2_avg'!$B$7-'Residential Bills_Yr 2_avg'!AA17-'Residential Bills_Yr 2_avg'!AA18)&gt;Input!L96,Input!L96,('Residential Bills_Yr 2_avg'!$B$7-'Residential Bills_Yr 2_avg'!AA17-'Residential Bills_Yr 2_avg'!AA18)),('Residential Bills_Yr 2_avg'!$B$7-'Residential Bills_Yr 2_avg'!AA17-'Residential Bills_Yr 2_avg'!AA18))</f>
        <v>0</v>
      </c>
      <c r="AB19" s="183">
        <f>ROUND(IFERROR(Z19*AA19," "),2)</f>
        <v>0</v>
      </c>
      <c r="AD19" s="23">
        <f>INDEX(Input!$C$21:$AL$25,MATCH('Residential Bills_Yr 2_avg'!$A19,Input!$A$21:$A$25,0),MATCH('Residential Bills_Yr 2_avg'!AD$13,Input!$C$20:$AL$20,0))</f>
        <v>9.1687999999999992</v>
      </c>
      <c r="AE19" s="24">
        <f>IF(OR(Input!M92="Tier 4",Input!M92="Tier 5"),IF(('Residential Bills_Yr 2_avg'!$B$7-'Residential Bills_Yr 2_avg'!AE17-'Residential Bills_Yr 2_avg'!AE18)&gt;Input!M96,Input!M96,('Residential Bills_Yr 2_avg'!$B$7-'Residential Bills_Yr 2_avg'!AE17-'Residential Bills_Yr 2_avg'!AE18)),('Residential Bills_Yr 2_avg'!$B$7-'Residential Bills_Yr 2_avg'!AE17-'Residential Bills_Yr 2_avg'!AE18))</f>
        <v>0</v>
      </c>
      <c r="AF19" s="183">
        <f>ROUND(IFERROR(AD19*AE19," "),2)</f>
        <v>0</v>
      </c>
      <c r="AH19" s="23">
        <f>INDEX(Input!$C$21:$AL$25,MATCH('Residential Bills_Yr 2_avg'!$A19,Input!$A$21:$A$25,0),MATCH('Residential Bills_Yr 2_avg'!AH$13,Input!$C$20:$AL$20,0))</f>
        <v>9.1687999999999992</v>
      </c>
      <c r="AI19" s="24">
        <f>IF(OR(Input!N92="Tier 4",Input!N92="Tier 5"),IF(('Residential Bills_Yr 2_avg'!$B$7-'Residential Bills_Yr 2_avg'!AI17-'Residential Bills_Yr 2_avg'!AI18)&gt;Input!N96,Input!N96,('Residential Bills_Yr 2_avg'!$B$7-'Residential Bills_Yr 2_avg'!AI17-'Residential Bills_Yr 2_avg'!AI18)),('Residential Bills_Yr 2_avg'!$B$7-'Residential Bills_Yr 2_avg'!AI17-'Residential Bills_Yr 2_avg'!AI18))</f>
        <v>0</v>
      </c>
      <c r="AJ19" s="183">
        <f>ROUND(IFERROR(AH19*AI19," "),2)</f>
        <v>0</v>
      </c>
      <c r="AL19" s="23">
        <f>INDEX(Input!$C$21:$AL$25,MATCH('Residential Bills_Yr 2_avg'!$A19,Input!$A$21:$A$25,0),MATCH('Residential Bills_Yr 2_avg'!AL$13,Input!$C$20:$AL$20,0))</f>
        <v>9.1687999999999992</v>
      </c>
      <c r="AM19" s="24">
        <f>IF(OR(Input!O92="Tier 4",Input!O92="Tier 5"),IF(('Residential Bills_Yr 2_avg'!$B$7-'Residential Bills_Yr 2_avg'!AM17-'Residential Bills_Yr 2_avg'!AM18)&gt;Input!O96,Input!O96,('Residential Bills_Yr 2_avg'!$B$7-'Residential Bills_Yr 2_avg'!AM17-'Residential Bills_Yr 2_avg'!AM18)),('Residential Bills_Yr 2_avg'!$B$7-'Residential Bills_Yr 2_avg'!AM17-'Residential Bills_Yr 2_avg'!AM18))</f>
        <v>0</v>
      </c>
      <c r="AN19" s="183">
        <f>ROUND(IFERROR(AL19*AM19," "),2)</f>
        <v>0</v>
      </c>
      <c r="AP19" s="23">
        <f>INDEX(Input!$C$21:$AL$25,MATCH('Residential Bills_Yr 2_avg'!$A19,Input!$A$21:$A$25,0),MATCH('Residential Bills_Yr 2_avg'!AP$13,Input!$C$20:$AL$20,0))</f>
        <v>9.1687999999999992</v>
      </c>
      <c r="AQ19" s="24">
        <f>IF(OR(Input!P92="Tier 4",Input!P92="Tier 5"),IF(('Residential Bills_Yr 2_avg'!$B$7-'Residential Bills_Yr 2_avg'!AQ17-'Residential Bills_Yr 2_avg'!AQ18)&gt;Input!P96,Input!P96,('Residential Bills_Yr 2_avg'!$B$7-'Residential Bills_Yr 2_avg'!AQ17-'Residential Bills_Yr 2_avg'!AQ18)),('Residential Bills_Yr 2_avg'!$B$7-'Residential Bills_Yr 2_avg'!AQ17-'Residential Bills_Yr 2_avg'!AQ18))</f>
        <v>0</v>
      </c>
      <c r="AR19" s="183">
        <f>ROUND(IFERROR(AP19*AQ19," "),2)</f>
        <v>0</v>
      </c>
      <c r="AS19" s="30"/>
      <c r="AT19" s="23">
        <f>INDEX(Input!$C$21:$AL$25,MATCH('Residential Bills_Yr 2_avg'!$A19,Input!$A$21:$A$25,0),MATCH('Residential Bills_Yr 2_avg'!AT$13,Input!$C$20:$AL$20,0))</f>
        <v>9.1687999999999992</v>
      </c>
      <c r="AU19" s="24">
        <f>IF(OR(Input!Q92="Tier 4",Input!Q92="Tier 5"),IF(('Residential Bills_Yr 2_avg'!$B$7-'Residential Bills_Yr 2_avg'!AU17-'Residential Bills_Yr 2_avg'!AU18)&gt;Input!Q96,Input!Q96,('Residential Bills_Yr 2_avg'!$B$7-'Residential Bills_Yr 2_avg'!AU17-'Residential Bills_Yr 2_avg'!AU18)),('Residential Bills_Yr 2_avg'!$B$7-'Residential Bills_Yr 2_avg'!AU17-'Residential Bills_Yr 2_avg'!AU18))</f>
        <v>0</v>
      </c>
      <c r="AV19" s="183">
        <f>ROUND(IFERROR(AT19*AU19," "),2)</f>
        <v>0</v>
      </c>
    </row>
    <row r="20" spans="1:48" ht="14.5" customHeight="1" x14ac:dyDescent="0.55000000000000004">
      <c r="A20" t="str">
        <f>Input!A24</f>
        <v>Tier 4</v>
      </c>
      <c r="B20" s="23">
        <f>INDEX(Input!$C$21:$AL$25,MATCH('Residential Bills_Yr 2_avg'!$A20,Input!$A$21:$A$25,0),MATCH('Residential Bills_Yr 2_avg'!B$13,Input!$C$20:$AL$20,0))</f>
        <v>0</v>
      </c>
      <c r="C20" s="24" t="str">
        <f>IF(Input!F92="Tier 4",($B$7-C17-C18-C19),IF(Input!F92="Tier 5",IF(('Residential Bills_Yr 2_avg'!$B$7-'Residential Bills_Yr 2_avg'!C17-'Residential Bills_Yr 2_avg'!C18-'Residential Bills_Yr 2_avg'!C19)&gt;Input!F97,Input!F97,('Residential Bills_Yr 2_avg'!$B$7-'Residential Bills_Yr 2_avg'!C17-'Residential Bills_Yr 2_avg'!C18-'Residential Bills_Yr 2_avg'!C19))," "))</f>
        <v xml:space="preserve"> </v>
      </c>
      <c r="D20" s="183" t="str">
        <f t="shared" ref="D20:D21" si="0">IFERROR(B20*C20," ")</f>
        <v xml:space="preserve"> </v>
      </c>
      <c r="F20" s="23">
        <f>INDEX(Input!$C$21:$AL$25,MATCH('Residential Bills_Yr 2_avg'!$A20,Input!$A$21:$A$25,0),MATCH('Residential Bills_Yr 2_avg'!F$13,Input!$C$20:$AL$20,0))</f>
        <v>0</v>
      </c>
      <c r="G20" s="24" t="str">
        <f>IF(Input!G92="Tier 4",($B$7-G17-G18-G19),IF(Input!G92="Tier 5",IF(('Residential Bills_Yr 2_avg'!$B$7-'Residential Bills_Yr 2_avg'!G17-'Residential Bills_Yr 2_avg'!G18-'Residential Bills_Yr 2_avg'!G19)&gt;Input!G97,Input!G97,('Residential Bills_Yr 2_avg'!$B$7-'Residential Bills_Yr 2_avg'!G17-'Residential Bills_Yr 2_avg'!G18-'Residential Bills_Yr 2_avg'!G19))," "))</f>
        <v xml:space="preserve"> </v>
      </c>
      <c r="H20" s="183" t="str">
        <f t="shared" ref="H20:H21" si="1">IFERROR(F20*G20," ")</f>
        <v xml:space="preserve"> </v>
      </c>
      <c r="J20" s="23">
        <f>INDEX(Input!$C$21:$AL$25,MATCH('Residential Bills_Yr 2_avg'!$A20,Input!$A$21:$A$25,0),MATCH('Residential Bills_Yr 2_avg'!J$13,Input!$C$20:$AL$20,0))</f>
        <v>0</v>
      </c>
      <c r="K20" s="24" t="str">
        <f>IF(Input!H92="Tier 4",($B$7-K17-K18-K19),IF(Input!H92="Tier 5",IF(('Residential Bills_Yr 2_avg'!$B$7-'Residential Bills_Yr 2_avg'!K17-'Residential Bills_Yr 2_avg'!K18-'Residential Bills_Yr 2_avg'!K19)&gt;Input!H97,Input!H97,('Residential Bills_Yr 2_avg'!$B$7-'Residential Bills_Yr 2_avg'!K17-'Residential Bills_Yr 2_avg'!K18-'Residential Bills_Yr 2_avg'!K19))," "))</f>
        <v xml:space="preserve"> </v>
      </c>
      <c r="L20" s="25" t="str">
        <f t="shared" ref="L20:L21" si="2">IFERROR(J20*K20," ")</f>
        <v xml:space="preserve"> </v>
      </c>
      <c r="N20" s="23">
        <f>INDEX(Input!$C$21:$AL$25,MATCH('Residential Bills_Yr 2_avg'!$A20,Input!$A$21:$A$25,0),MATCH('Residential Bills_Yr 2_avg'!N$13,Input!$C$20:$AL$20,0))</f>
        <v>0</v>
      </c>
      <c r="O20" s="24" t="str">
        <f>IF(Input!I92="Tier 4",($B$7-O17-O18-O19),IF(Input!I92="Tier 5",IF(('Residential Bills_Yr 2_avg'!$B$7-'Residential Bills_Yr 2_avg'!O17-'Residential Bills_Yr 2_avg'!O18-'Residential Bills_Yr 2_avg'!O19)&gt;Input!I97,Input!I97,('Residential Bills_Yr 2_avg'!$B$7-'Residential Bills_Yr 2_avg'!O17-'Residential Bills_Yr 2_avg'!O18-'Residential Bills_Yr 2_avg'!O19))," "))</f>
        <v xml:space="preserve"> </v>
      </c>
      <c r="P20" s="25" t="str">
        <f t="shared" ref="P20:P21" si="3">IFERROR(N20*O20," ")</f>
        <v xml:space="preserve"> </v>
      </c>
      <c r="R20" s="23">
        <f>INDEX(Input!$C$21:$AL$25,MATCH('Residential Bills_Yr 2_avg'!$A20,Input!$A$21:$A$25,0),MATCH('Residential Bills_Yr 2_avg'!R$13,Input!$C$20:$AL$20,0))</f>
        <v>0</v>
      </c>
      <c r="S20" s="24" t="str">
        <f>IF(Input!J92="Tier 4",($B$7-S17-S18-S19),IF(Input!J92="Tier 5",IF(('Residential Bills_Yr 2_avg'!$B$7-'Residential Bills_Yr 2_avg'!S17-'Residential Bills_Yr 2_avg'!S18-'Residential Bills_Yr 2_avg'!S19)&gt;Input!J97,Input!J97,('Residential Bills_Yr 2_avg'!$B$7-'Residential Bills_Yr 2_avg'!S17-'Residential Bills_Yr 2_avg'!S18-'Residential Bills_Yr 2_avg'!S19))," "))</f>
        <v xml:space="preserve"> </v>
      </c>
      <c r="T20" s="25" t="str">
        <f t="shared" ref="T20:T21" si="4">IFERROR(R20*S20," ")</f>
        <v xml:space="preserve"> </v>
      </c>
      <c r="V20" s="23">
        <f>INDEX(Input!$C$21:$AL$25,MATCH('Residential Bills_Yr 2_avg'!$A20,Input!$A$21:$A$25,0),MATCH('Residential Bills_Yr 2_avg'!V$13,Input!$C$20:$AL$20,0))</f>
        <v>0</v>
      </c>
      <c r="W20" s="24" t="str">
        <f>IF(Input!K92="Tier 4",($B$7-W17-W18-W19),IF(Input!K92="Tier 5",IF(('Residential Bills_Yr 2_avg'!$B$7-'Residential Bills_Yr 2_avg'!W17-'Residential Bills_Yr 2_avg'!W18-'Residential Bills_Yr 2_avg'!W19)&gt;Input!K97,Input!K97,('Residential Bills_Yr 2_avg'!$B$7-'Residential Bills_Yr 2_avg'!W17-'Residential Bills_Yr 2_avg'!W18-'Residential Bills_Yr 2_avg'!W19))," "))</f>
        <v xml:space="preserve"> </v>
      </c>
      <c r="X20" s="25" t="str">
        <f t="shared" ref="X20:X21" si="5">IFERROR(V20*W20," ")</f>
        <v xml:space="preserve"> </v>
      </c>
      <c r="Z20" s="23">
        <f>INDEX(Input!$C$21:$AL$25,MATCH('Residential Bills_Yr 2_avg'!$A20,Input!$A$21:$A$25,0),MATCH('Residential Bills_Yr 2_avg'!Z$13,Input!$C$20:$AL$20,0))</f>
        <v>0</v>
      </c>
      <c r="AA20" s="24" t="str">
        <f>IF(Input!L92="Tier 4",($B$7-AA17-AA18-AA19),IF(Input!L92="Tier 5",IF(('Residential Bills_Yr 2_avg'!$B$7-'Residential Bills_Yr 2_avg'!AA17-'Residential Bills_Yr 2_avg'!AA18-'Residential Bills_Yr 2_avg'!AA19)&gt;Input!L97,Input!L97,('Residential Bills_Yr 2_avg'!$B$7-'Residential Bills_Yr 2_avg'!AA17-'Residential Bills_Yr 2_avg'!AA18-'Residential Bills_Yr 2_avg'!AA19))," "))</f>
        <v xml:space="preserve"> </v>
      </c>
      <c r="AB20" s="25" t="str">
        <f t="shared" ref="AB20:AB21" si="6">IFERROR(Z20*AA20," ")</f>
        <v xml:space="preserve"> </v>
      </c>
      <c r="AD20" s="23">
        <f>INDEX(Input!$C$21:$AL$25,MATCH('Residential Bills_Yr 2_avg'!$A20,Input!$A$21:$A$25,0),MATCH('Residential Bills_Yr 2_avg'!AD$13,Input!$C$20:$AL$20,0))</f>
        <v>0</v>
      </c>
      <c r="AE20" s="24" t="str">
        <f>IF(Input!M92="Tier 4",($B$7-AE17-AE18-AE19),IF(Input!M92="Tier 5",IF(('Residential Bills_Yr 2_avg'!$B$7-'Residential Bills_Yr 2_avg'!AE17-'Residential Bills_Yr 2_avg'!AE18-'Residential Bills_Yr 2_avg'!AE19)&gt;Input!M97,Input!M97,('Residential Bills_Yr 2_avg'!$B$7-'Residential Bills_Yr 2_avg'!AE17-'Residential Bills_Yr 2_avg'!AE18-'Residential Bills_Yr 2_avg'!AE19))," "))</f>
        <v xml:space="preserve"> </v>
      </c>
      <c r="AF20" s="25" t="str">
        <f t="shared" ref="AF20:AF21" si="7">IFERROR(AD20*AE20," ")</f>
        <v xml:space="preserve"> </v>
      </c>
      <c r="AH20" s="23">
        <f>INDEX(Input!$C$21:$AL$25,MATCH('Residential Bills_Yr 2_avg'!$A20,Input!$A$21:$A$25,0),MATCH('Residential Bills_Yr 2_avg'!AH$13,Input!$C$20:$AL$20,0))</f>
        <v>0</v>
      </c>
      <c r="AI20" s="24" t="str">
        <f>IF(Input!N92="Tier 4",($B$7-AI17-AI18-AI19),IF(Input!N92="Tier 5",IF(('Residential Bills_Yr 2_avg'!$B$7-'Residential Bills_Yr 2_avg'!AI17-'Residential Bills_Yr 2_avg'!AI18-'Residential Bills_Yr 2_avg'!AI19)&gt;Input!N97,Input!N97,('Residential Bills_Yr 2_avg'!$B$7-'Residential Bills_Yr 2_avg'!AI17-'Residential Bills_Yr 2_avg'!AI18-'Residential Bills_Yr 2_avg'!AI19))," "))</f>
        <v xml:space="preserve"> </v>
      </c>
      <c r="AJ20" s="25" t="str">
        <f t="shared" ref="AJ20:AJ21" si="8">IFERROR(AH20*AI20," ")</f>
        <v xml:space="preserve"> </v>
      </c>
      <c r="AL20" s="23">
        <f>INDEX(Input!$C$21:$AL$25,MATCH('Residential Bills_Yr 2_avg'!$A20,Input!$A$21:$A$25,0),MATCH('Residential Bills_Yr 2_avg'!AL$13,Input!$C$20:$AL$20,0))</f>
        <v>0</v>
      </c>
      <c r="AM20" s="24" t="str">
        <f>IF(Input!O92="Tier 4",($B$7-AM17-AM18-AM19),IF(Input!O92="Tier 5",IF(('Residential Bills_Yr 2_avg'!$B$7-'Residential Bills_Yr 2_avg'!AM17-'Residential Bills_Yr 2_avg'!AM18-'Residential Bills_Yr 2_avg'!AM19)&gt;Input!O97,Input!O97,('Residential Bills_Yr 2_avg'!$B$7-'Residential Bills_Yr 2_avg'!AM17-'Residential Bills_Yr 2_avg'!AM18-'Residential Bills_Yr 2_avg'!AM19))," "))</f>
        <v xml:space="preserve"> </v>
      </c>
      <c r="AN20" s="25" t="str">
        <f t="shared" ref="AN20:AN21" si="9">IFERROR(AL20*AM20," ")</f>
        <v xml:space="preserve"> </v>
      </c>
      <c r="AP20" s="23">
        <f>INDEX(Input!$C$21:$AL$25,MATCH('Residential Bills_Yr 2_avg'!$A20,Input!$A$21:$A$25,0),MATCH('Residential Bills_Yr 2_avg'!AP$13,Input!$C$20:$AL$20,0))</f>
        <v>0</v>
      </c>
      <c r="AQ20" s="24" t="str">
        <f>IF(Input!P92="Tier 4",($B$7-AQ17-AQ18-AQ19),IF(Input!P92="Tier 5",IF(('Residential Bills_Yr 2_avg'!$B$7-'Residential Bills_Yr 2_avg'!AQ17-'Residential Bills_Yr 2_avg'!AQ18-'Residential Bills_Yr 2_avg'!AQ19)&gt;Input!P97,Input!P97,('Residential Bills_Yr 2_avg'!$B$7-'Residential Bills_Yr 2_avg'!AQ17-'Residential Bills_Yr 2_avg'!AQ18-'Residential Bills_Yr 2_avg'!AQ19))," "))</f>
        <v xml:space="preserve"> </v>
      </c>
      <c r="AR20" s="25" t="str">
        <f t="shared" ref="AR20:AR21" si="10">IFERROR(AP20*AQ20," ")</f>
        <v xml:space="preserve"> </v>
      </c>
      <c r="AS20" s="30"/>
      <c r="AT20" s="23">
        <f>INDEX(Input!$C$21:$AL$25,MATCH('Residential Bills_Yr 2_avg'!$A20,Input!$A$21:$A$25,0),MATCH('Residential Bills_Yr 2_avg'!AT$13,Input!$C$20:$AL$20,0))</f>
        <v>0</v>
      </c>
      <c r="AU20" s="24" t="str">
        <f>IF(Input!Q92="Tier 4",($B$7-AU17-AU18-AU19),IF(Input!Q92="Tier 5",IF(('Residential Bills_Yr 2_avg'!$B$7-'Residential Bills_Yr 2_avg'!AU17-'Residential Bills_Yr 2_avg'!AU18-'Residential Bills_Yr 2_avg'!AU19)&gt;Input!Q97,Input!Q97,('Residential Bills_Yr 2_avg'!$B$7-'Residential Bills_Yr 2_avg'!AU17-'Residential Bills_Yr 2_avg'!AU18-'Residential Bills_Yr 2_avg'!AU19))," "))</f>
        <v xml:space="preserve"> </v>
      </c>
      <c r="AV20" s="25" t="str">
        <f t="shared" ref="AV20:AV21" si="11">IFERROR(AT20*AU20," ")</f>
        <v xml:space="preserve"> </v>
      </c>
    </row>
    <row r="21" spans="1:48" ht="14.5" customHeight="1" x14ac:dyDescent="0.55000000000000004">
      <c r="A21" t="str">
        <f>Input!A25</f>
        <v>Tier 5</v>
      </c>
      <c r="B21" s="23">
        <f>INDEX(Input!$C$21:$AL$25,MATCH('Residential Bills_Yr 2_avg'!$A21,Input!$A$21:$A$25,0),MATCH('Residential Bills_Yr 2_avg'!B$13,Input!$C$20:$AL$20,0))</f>
        <v>0</v>
      </c>
      <c r="C21" s="24" t="str">
        <f>IF(Input!F92="Tier 5",('Residential Bills_Yr 2_avg'!$B$7-'Residential Bills_Yr 2_avg'!C17-'Residential Bills_Yr 2_avg'!C18-'Residential Bills_Yr 2_avg'!C19-'Residential Bills_Yr 2_avg'!C20)," ")</f>
        <v xml:space="preserve"> </v>
      </c>
      <c r="D21" s="183" t="str">
        <f t="shared" si="0"/>
        <v xml:space="preserve"> </v>
      </c>
      <c r="F21" s="23">
        <f>INDEX(Input!$C$21:$AL$25,MATCH('Residential Bills_Yr 2_avg'!$A21,Input!$A$21:$A$25,0),MATCH('Residential Bills_Yr 2_avg'!F$13,Input!$C$20:$AL$20,0))</f>
        <v>0</v>
      </c>
      <c r="G21" s="24" t="str">
        <f>IF(Input!G92="Tier 5",('Residential Bills_Yr 2_avg'!$B$7-'Residential Bills_Yr 2_avg'!G17-'Residential Bills_Yr 2_avg'!G18-'Residential Bills_Yr 2_avg'!G19-'Residential Bills_Yr 2_avg'!G20)," ")</f>
        <v xml:space="preserve"> </v>
      </c>
      <c r="H21" s="183" t="str">
        <f t="shared" si="1"/>
        <v xml:space="preserve"> </v>
      </c>
      <c r="J21" s="23">
        <f>INDEX(Input!$C$21:$AL$25,MATCH('Residential Bills_Yr 2_avg'!$A21,Input!$A$21:$A$25,0),MATCH('Residential Bills_Yr 2_avg'!J$13,Input!$C$20:$AL$20,0))</f>
        <v>0</v>
      </c>
      <c r="K21" s="24" t="str">
        <f>IF(Input!H92="Tier 5",('Residential Bills_Yr 2_avg'!$B$7-'Residential Bills_Yr 2_avg'!K$17-'Residential Bills_Yr 2_avg'!K$18-'Residential Bills_Yr 2_avg'!K$19-'Residential Bills_Yr 2_avg'!K$20)," ")</f>
        <v xml:space="preserve"> </v>
      </c>
      <c r="L21" s="25" t="str">
        <f t="shared" si="2"/>
        <v xml:space="preserve"> </v>
      </c>
      <c r="N21" s="23">
        <f>INDEX(Input!$C$21:$AL$25,MATCH('Residential Bills_Yr 2_avg'!$A21,Input!$A$21:$A$25,0),MATCH('Residential Bills_Yr 2_avg'!N$13,Input!$C$20:$AL$20,0))</f>
        <v>0</v>
      </c>
      <c r="O21" s="24" t="str">
        <f>IF(Input!I92="Tier 5",('Residential Bills_Yr 2_avg'!$B$7-'Residential Bills_Yr 2_avg'!O$17-'Residential Bills_Yr 2_avg'!O$18-'Residential Bills_Yr 2_avg'!O$19-'Residential Bills_Yr 2_avg'!O$20)," ")</f>
        <v xml:space="preserve"> </v>
      </c>
      <c r="P21" s="25" t="str">
        <f t="shared" si="3"/>
        <v xml:space="preserve"> </v>
      </c>
      <c r="R21" s="23">
        <f>INDEX(Input!$C$21:$AL$25,MATCH('Residential Bills_Yr 2_avg'!$A21,Input!$A$21:$A$25,0),MATCH('Residential Bills_Yr 2_avg'!R$13,Input!$C$20:$AL$20,0))</f>
        <v>0</v>
      </c>
      <c r="S21" s="24" t="str">
        <f>IF(Input!J92="Tier 5",('Residential Bills_Yr 2_avg'!$B$7-'Residential Bills_Yr 2_avg'!S$17-'Residential Bills_Yr 2_avg'!S$18-'Residential Bills_Yr 2_avg'!S$19-'Residential Bills_Yr 2_avg'!S$20)," ")</f>
        <v xml:space="preserve"> </v>
      </c>
      <c r="T21" s="25" t="str">
        <f t="shared" si="4"/>
        <v xml:space="preserve"> </v>
      </c>
      <c r="V21" s="23">
        <f>INDEX(Input!$C$21:$AL$25,MATCH('Residential Bills_Yr 2_avg'!$A21,Input!$A$21:$A$25,0),MATCH('Residential Bills_Yr 2_avg'!V$13,Input!$C$20:$AL$20,0))</f>
        <v>0</v>
      </c>
      <c r="W21" s="24" t="str">
        <f>IF(Input!K92="Tier 5",('Residential Bills_Yr 2_avg'!$B$7-'Residential Bills_Yr 2_avg'!W$17-'Residential Bills_Yr 2_avg'!W$18-'Residential Bills_Yr 2_avg'!W$19-'Residential Bills_Yr 2_avg'!W$20)," ")</f>
        <v xml:space="preserve"> </v>
      </c>
      <c r="X21" s="25" t="str">
        <f t="shared" si="5"/>
        <v xml:space="preserve"> </v>
      </c>
      <c r="Z21" s="23">
        <f>INDEX(Input!$C$21:$AL$25,MATCH('Residential Bills_Yr 2_avg'!$A21,Input!$A$21:$A$25,0),MATCH('Residential Bills_Yr 2_avg'!Z$13,Input!$C$20:$AL$20,0))</f>
        <v>0</v>
      </c>
      <c r="AA21" s="24" t="str">
        <f>IF(Input!L92="Tier 5",('Residential Bills_Yr 2_avg'!$B$7-'Residential Bills_Yr 2_avg'!AA$17-'Residential Bills_Yr 2_avg'!AA$18-'Residential Bills_Yr 2_avg'!AA$19-'Residential Bills_Yr 2_avg'!AA$20)," ")</f>
        <v xml:space="preserve"> </v>
      </c>
      <c r="AB21" s="25" t="str">
        <f t="shared" si="6"/>
        <v xml:space="preserve"> </v>
      </c>
      <c r="AD21" s="23">
        <f>INDEX(Input!$C$21:$AL$25,MATCH('Residential Bills_Yr 2_avg'!$A21,Input!$A$21:$A$25,0),MATCH('Residential Bills_Yr 2_avg'!AD$13,Input!$C$20:$AL$20,0))</f>
        <v>0</v>
      </c>
      <c r="AE21" s="24" t="str">
        <f>IF(Input!M92="Tier 5",('Residential Bills_Yr 2_avg'!$B$7-'Residential Bills_Yr 2_avg'!AE$17-'Residential Bills_Yr 2_avg'!AE$18-'Residential Bills_Yr 2_avg'!AE$19-'Residential Bills_Yr 2_avg'!AE$20)," ")</f>
        <v xml:space="preserve"> </v>
      </c>
      <c r="AF21" s="25" t="str">
        <f t="shared" si="7"/>
        <v xml:space="preserve"> </v>
      </c>
      <c r="AH21" s="23">
        <f>INDEX(Input!$C$21:$AL$25,MATCH('Residential Bills_Yr 2_avg'!$A21,Input!$A$21:$A$25,0),MATCH('Residential Bills_Yr 2_avg'!AH$13,Input!$C$20:$AL$20,0))</f>
        <v>0</v>
      </c>
      <c r="AI21" s="24" t="str">
        <f>IF(Input!N92="Tier 5",('Residential Bills_Yr 2_avg'!$B$7-'Residential Bills_Yr 2_avg'!AI$17-'Residential Bills_Yr 2_avg'!AI$18-'Residential Bills_Yr 2_avg'!AI$19-'Residential Bills_Yr 2_avg'!AI$20)," ")</f>
        <v xml:space="preserve"> </v>
      </c>
      <c r="AJ21" s="25" t="str">
        <f t="shared" si="8"/>
        <v xml:space="preserve"> </v>
      </c>
      <c r="AL21" s="23">
        <f>INDEX(Input!$C$21:$AL$25,MATCH('Residential Bills_Yr 2_avg'!$A21,Input!$A$21:$A$25,0),MATCH('Residential Bills_Yr 2_avg'!AL$13,Input!$C$20:$AL$20,0))</f>
        <v>0</v>
      </c>
      <c r="AM21" s="24" t="str">
        <f>IF(Input!O92="Tier 5",('Residential Bills_Yr 2_avg'!$B$7-'Residential Bills_Yr 2_avg'!AM$17-'Residential Bills_Yr 2_avg'!AM$18-'Residential Bills_Yr 2_avg'!AM$19-'Residential Bills_Yr 2_avg'!AM$20)," ")</f>
        <v xml:space="preserve"> </v>
      </c>
      <c r="AN21" s="25" t="str">
        <f t="shared" si="9"/>
        <v xml:space="preserve"> </v>
      </c>
      <c r="AP21" s="23">
        <f>INDEX(Input!$C$21:$AL$25,MATCH('Residential Bills_Yr 2_avg'!$A21,Input!$A$21:$A$25,0),MATCH('Residential Bills_Yr 2_avg'!AP$13,Input!$C$20:$AL$20,0))</f>
        <v>0</v>
      </c>
      <c r="AQ21" s="24" t="str">
        <f>IF(Input!P92="Tier 5",('Residential Bills_Yr 2_avg'!$B$7-'Residential Bills_Yr 2_avg'!AQ$17-'Residential Bills_Yr 2_avg'!AQ$18-'Residential Bills_Yr 2_avg'!AQ$19-'Residential Bills_Yr 2_avg'!AQ$20)," ")</f>
        <v xml:space="preserve"> </v>
      </c>
      <c r="AR21" s="25" t="str">
        <f t="shared" si="10"/>
        <v xml:space="preserve"> </v>
      </c>
      <c r="AS21" s="30"/>
      <c r="AT21" s="23">
        <f>INDEX(Input!$C$21:$AL$25,MATCH('Residential Bills_Yr 2_avg'!$A21,Input!$A$21:$A$25,0),MATCH('Residential Bills_Yr 2_avg'!AT$13,Input!$C$20:$AL$20,0))</f>
        <v>0</v>
      </c>
      <c r="AU21" s="24" t="str">
        <f>IF(Input!Q92="Tier 5",('Residential Bills_Yr 2_avg'!$B$7-'Residential Bills_Yr 2_avg'!AU$17-'Residential Bills_Yr 2_avg'!AU$18-'Residential Bills_Yr 2_avg'!AU$19-'Residential Bills_Yr 2_avg'!AU$20)," ")</f>
        <v xml:space="preserve"> </v>
      </c>
      <c r="AV21" s="25" t="str">
        <f t="shared" si="11"/>
        <v xml:space="preserve"> </v>
      </c>
    </row>
    <row r="22" spans="1:48" x14ac:dyDescent="0.55000000000000004">
      <c r="A22" t="s">
        <v>39</v>
      </c>
      <c r="B22" s="16"/>
      <c r="C22" s="24">
        <f>SUM(C17:C21)</f>
        <v>11</v>
      </c>
      <c r="D22" s="184">
        <f>SUM(D17:D21)+D14</f>
        <v>107.58000000000001</v>
      </c>
      <c r="F22" s="16"/>
      <c r="G22" s="24">
        <f>SUM(G17:G21)</f>
        <v>11</v>
      </c>
      <c r="H22" s="184">
        <f>SUM(H17:H21)+H14</f>
        <v>107.58000000000001</v>
      </c>
      <c r="J22" s="16"/>
      <c r="K22" s="24">
        <f>SUM(K17:K21)</f>
        <v>11</v>
      </c>
      <c r="L22" s="26">
        <f>SUM(L17:L21)+L14</f>
        <v>107.58000000000001</v>
      </c>
      <c r="N22" s="16"/>
      <c r="O22" s="24">
        <f>SUM(O17:O21)</f>
        <v>11</v>
      </c>
      <c r="P22" s="26">
        <f>SUM(P17:P21)+P14</f>
        <v>107.58000000000001</v>
      </c>
      <c r="R22" s="16"/>
      <c r="S22" s="24">
        <f>SUM(S17:S21)</f>
        <v>11</v>
      </c>
      <c r="T22" s="26">
        <f>SUM(T17:T21)+T14</f>
        <v>107.58000000000001</v>
      </c>
      <c r="V22" s="16"/>
      <c r="W22" s="24">
        <f>SUM(W17:W21)</f>
        <v>11</v>
      </c>
      <c r="X22" s="26">
        <f>SUM(X17:X21)+X14</f>
        <v>107.58000000000001</v>
      </c>
      <c r="Z22" s="16"/>
      <c r="AA22" s="24">
        <f>SUM(AA17:AA21)</f>
        <v>11</v>
      </c>
      <c r="AB22" s="26">
        <f>SUM(AB17:AB21)+AB14</f>
        <v>107.58000000000001</v>
      </c>
      <c r="AD22" s="16"/>
      <c r="AE22" s="24">
        <f>SUM(AE17:AE21)</f>
        <v>11</v>
      </c>
      <c r="AF22" s="26">
        <f>SUM(AF17:AF21)+AF14</f>
        <v>107.58000000000001</v>
      </c>
      <c r="AH22" s="16"/>
      <c r="AI22" s="24">
        <f>SUM(AI17:AI21)</f>
        <v>11</v>
      </c>
      <c r="AJ22" s="26">
        <f>SUM(AJ17:AJ21)+AJ14</f>
        <v>107.58000000000001</v>
      </c>
      <c r="AL22" s="16"/>
      <c r="AM22" s="24">
        <f>SUM(AM17:AM21)</f>
        <v>11</v>
      </c>
      <c r="AN22" s="26">
        <f>SUM(AN17:AN21)+AN14</f>
        <v>107.58000000000001</v>
      </c>
      <c r="AP22" s="16"/>
      <c r="AQ22" s="24">
        <f>SUM(AQ17:AQ21)</f>
        <v>11</v>
      </c>
      <c r="AR22" s="26">
        <f>SUM(AR17:AR21)+AR14</f>
        <v>107.58000000000001</v>
      </c>
      <c r="AS22" s="64"/>
      <c r="AT22" s="16"/>
      <c r="AU22" s="24">
        <f>SUM(AU17:AU21)</f>
        <v>11</v>
      </c>
      <c r="AV22" s="26">
        <f>SUM(AV17:AV21)+AV14</f>
        <v>107.58000000000001</v>
      </c>
    </row>
    <row r="23" spans="1:48" x14ac:dyDescent="0.55000000000000004">
      <c r="B23" s="16"/>
      <c r="C23" s="17"/>
      <c r="D23" s="19"/>
      <c r="F23" s="16"/>
      <c r="G23" s="17"/>
      <c r="H23" s="19"/>
      <c r="J23" s="16"/>
      <c r="K23" s="17"/>
      <c r="L23" s="19"/>
      <c r="N23" s="16"/>
      <c r="O23" s="17"/>
      <c r="P23" s="19"/>
      <c r="R23" s="16"/>
      <c r="S23" s="17"/>
      <c r="T23" s="19"/>
      <c r="V23" s="16"/>
      <c r="W23" s="17"/>
      <c r="X23" s="19"/>
      <c r="Z23" s="16"/>
      <c r="AA23" s="17"/>
      <c r="AB23" s="19"/>
      <c r="AD23" s="16"/>
      <c r="AE23" s="17"/>
      <c r="AF23" s="19"/>
      <c r="AH23" s="16"/>
      <c r="AI23" s="17"/>
      <c r="AJ23" s="19"/>
      <c r="AL23" s="16"/>
      <c r="AM23" s="17"/>
      <c r="AN23" s="19"/>
      <c r="AP23" s="16"/>
      <c r="AQ23" s="17"/>
      <c r="AR23" s="19"/>
      <c r="AS23" s="17"/>
      <c r="AT23" s="16"/>
      <c r="AU23" s="17"/>
      <c r="AV23" s="19"/>
    </row>
    <row r="24" spans="1:48" x14ac:dyDescent="0.55000000000000004">
      <c r="A24" s="1" t="s">
        <v>34</v>
      </c>
      <c r="B24" s="20" t="s">
        <v>29</v>
      </c>
      <c r="C24" s="21" t="s">
        <v>44</v>
      </c>
      <c r="D24" s="22" t="s">
        <v>30</v>
      </c>
      <c r="F24" s="20" t="s">
        <v>29</v>
      </c>
      <c r="G24" s="21" t="s">
        <v>44</v>
      </c>
      <c r="H24" s="22" t="s">
        <v>30</v>
      </c>
      <c r="J24" s="20" t="s">
        <v>29</v>
      </c>
      <c r="K24" s="21" t="s">
        <v>44</v>
      </c>
      <c r="L24" s="22" t="s">
        <v>30</v>
      </c>
      <c r="N24" s="20" t="s">
        <v>29</v>
      </c>
      <c r="O24" s="21" t="s">
        <v>44</v>
      </c>
      <c r="P24" s="22" t="s">
        <v>30</v>
      </c>
      <c r="R24" s="20" t="s">
        <v>29</v>
      </c>
      <c r="S24" s="21" t="s">
        <v>44</v>
      </c>
      <c r="T24" s="22" t="s">
        <v>30</v>
      </c>
      <c r="V24" s="20" t="s">
        <v>29</v>
      </c>
      <c r="W24" s="21" t="s">
        <v>44</v>
      </c>
      <c r="X24" s="22" t="s">
        <v>30</v>
      </c>
      <c r="Z24" s="20" t="s">
        <v>29</v>
      </c>
      <c r="AA24" s="21" t="s">
        <v>44</v>
      </c>
      <c r="AB24" s="22" t="s">
        <v>30</v>
      </c>
      <c r="AD24" s="20" t="s">
        <v>29</v>
      </c>
      <c r="AE24" s="21" t="s">
        <v>44</v>
      </c>
      <c r="AF24" s="22" t="s">
        <v>30</v>
      </c>
      <c r="AH24" s="20" t="s">
        <v>29</v>
      </c>
      <c r="AI24" s="21" t="s">
        <v>44</v>
      </c>
      <c r="AJ24" s="22" t="s">
        <v>30</v>
      </c>
      <c r="AL24" s="20" t="s">
        <v>29</v>
      </c>
      <c r="AM24" s="21" t="s">
        <v>44</v>
      </c>
      <c r="AN24" s="22" t="s">
        <v>30</v>
      </c>
      <c r="AP24" s="20" t="s">
        <v>29</v>
      </c>
      <c r="AQ24" s="21" t="s">
        <v>44</v>
      </c>
      <c r="AR24" s="22" t="s">
        <v>30</v>
      </c>
      <c r="AS24" s="170"/>
      <c r="AT24" s="20" t="s">
        <v>29</v>
      </c>
      <c r="AU24" s="21" t="s">
        <v>44</v>
      </c>
      <c r="AV24" s="22" t="s">
        <v>30</v>
      </c>
    </row>
    <row r="25" spans="1:48" x14ac:dyDescent="0.55000000000000004">
      <c r="A25" t="str">
        <f>IF($B$9="No",Input!A46,"CAP Discount")</f>
        <v>SRF 1</v>
      </c>
      <c r="B25" s="173">
        <f>INDEX(Input!$C$46:$AM$58,MATCH($A25,Input!$A$46:$A$58,0),MATCH(B$13,Input!$C$45:$AM$45,0))</f>
        <v>0.04</v>
      </c>
      <c r="C25" s="31" t="str">
        <f>IF(VLOOKUP($A25,Input!$A$46:$B$58,2,FALSE)="Percentage",D$22,IF(VLOOKUP($A25,Input!$A$46:$B$58,2,FALSE)="Fixed","Fixed",(C$22)))</f>
        <v>Fixed</v>
      </c>
      <c r="D25" s="25">
        <f t="shared" ref="D25:D36" si="12">ROUND(IF(C25="Fixed",B25,(B25*C25)),2)</f>
        <v>0.04</v>
      </c>
      <c r="F25" s="173">
        <f>INDEX(Input!$C$46:$AM$58,MATCH($A25,Input!$A$46:$A$58,0),MATCH(F$13,Input!$C$45:$AM$45,0))</f>
        <v>0.04</v>
      </c>
      <c r="G25" s="31" t="str">
        <f>IF(VLOOKUP($A25,Input!$A$46:$B$58,2,FALSE)="Percentage",H$22,IF(VLOOKUP($A25,Input!$A$46:$B$58,2,FALSE)="Fixed","Fixed",(G$22)))</f>
        <v>Fixed</v>
      </c>
      <c r="H25" s="25">
        <f t="shared" ref="H25:H36" si="13">ROUND(IF(G25="Fixed",F25,(F25*G25)),2)</f>
        <v>0.04</v>
      </c>
      <c r="J25" s="173">
        <f>INDEX(Input!$C$46:$AM$58,MATCH($A25,Input!$A$46:$A$58,0),MATCH(J$13,Input!$C$45:$AM$45,0))</f>
        <v>0.04</v>
      </c>
      <c r="K25" s="31" t="str">
        <f>IF(VLOOKUP($A25,Input!$A$46:$B$58,2,FALSE)="Percentage",L$22,IF(VLOOKUP($A25,Input!$A$46:$B$58,2,FALSE)="Fixed","Fixed",(K$22)))</f>
        <v>Fixed</v>
      </c>
      <c r="L25" s="25">
        <f t="shared" ref="L25:L36" si="14">ROUND(IF(K25="Fixed",J25,(J25*K25)),2)</f>
        <v>0.04</v>
      </c>
      <c r="N25" s="173">
        <f>INDEX(Input!$C$46:$AM$58,MATCH($A25,Input!$A$46:$A$58,0),MATCH(N$13,Input!$C$45:$AM$45,0))</f>
        <v>0.04</v>
      </c>
      <c r="O25" s="31" t="str">
        <f>IF(VLOOKUP($A25,Input!$A$46:$B$58,2,FALSE)="Percentage",P$22,IF(VLOOKUP($A25,Input!$A$46:$B$58,2,FALSE)="Fixed","Fixed",(O$22)))</f>
        <v>Fixed</v>
      </c>
      <c r="P25" s="25">
        <f t="shared" ref="P25:P36" si="15">ROUND(IF(O25="Fixed",N25,(N25*O25)),2)</f>
        <v>0.04</v>
      </c>
      <c r="R25" s="173">
        <f>INDEX(Input!$C$46:$AM$58,MATCH($A25,Input!$A$46:$A$58,0),MATCH(R$13,Input!$C$45:$AM$45,0))</f>
        <v>0.04</v>
      </c>
      <c r="S25" s="31" t="str">
        <f>IF(VLOOKUP($A25,Input!$A$46:$B$58,2,FALSE)="Percentage",T$22,IF(VLOOKUP($A25,Input!$A$46:$B$58,2,FALSE)="Fixed","Fixed",(S$22)))</f>
        <v>Fixed</v>
      </c>
      <c r="T25" s="25">
        <f t="shared" ref="T25:T36" si="16">ROUND(IF(S25="Fixed",R25,(R25*S25)),2)</f>
        <v>0.04</v>
      </c>
      <c r="V25" s="173">
        <f>INDEX(Input!$C$46:$AM$58,MATCH($A25,Input!$A$46:$A$58,0),MATCH(V$13,Input!$C$45:$AM$45,0))</f>
        <v>0.04</v>
      </c>
      <c r="W25" s="31" t="str">
        <f>IF(VLOOKUP($A25,Input!$A$46:$B$58,2,FALSE)="Percentage",X$22,IF(VLOOKUP($A25,Input!$A$46:$B$58,2,FALSE)="Fixed","Fixed",(W$22)))</f>
        <v>Fixed</v>
      </c>
      <c r="X25" s="25">
        <f t="shared" ref="X25:X36" si="17">ROUND(IF(W25="Fixed",V25,(V25*W25)),2)</f>
        <v>0.04</v>
      </c>
      <c r="Z25" s="173">
        <f>INDEX(Input!$C$46:$AM$58,MATCH($A25,Input!$A$46:$A$58,0),MATCH(Z$13,Input!$C$45:$AM$45,0))</f>
        <v>0.04</v>
      </c>
      <c r="AA25" s="31" t="str">
        <f>IF(VLOOKUP($A25,Input!$A$46:$B$58,2,FALSE)="Percentage",AB$22,IF(VLOOKUP($A25,Input!$A$46:$B$58,2,FALSE)="Fixed","Fixed",(AA$22)))</f>
        <v>Fixed</v>
      </c>
      <c r="AB25" s="25">
        <f t="shared" ref="AB25:AB36" si="18">ROUND(IF(AA25="Fixed",Z25,(Z25*AA25)),2)</f>
        <v>0.04</v>
      </c>
      <c r="AD25" s="173">
        <f>INDEX(Input!$C$46:$AM$58,MATCH($A25,Input!$A$46:$A$58,0),MATCH(AD$13,Input!$C$45:$AM$45,0))</f>
        <v>0.04</v>
      </c>
      <c r="AE25" s="31" t="str">
        <f>IF(VLOOKUP($A25,Input!$A$46:$B$58,2,FALSE)="Percentage",AF$22,IF(VLOOKUP($A25,Input!$A$46:$B$58,2,FALSE)="Fixed","Fixed",(AE$22)))</f>
        <v>Fixed</v>
      </c>
      <c r="AF25" s="25">
        <f t="shared" ref="AF25:AF36" si="19">ROUND(IF(AE25="Fixed",AD25,(AD25*AE25)),2)</f>
        <v>0.04</v>
      </c>
      <c r="AH25" s="173">
        <f>INDEX(Input!$C$46:$AM$58,MATCH($A25,Input!$A$46:$A$58,0),MATCH(AH$13,Input!$C$45:$AM$45,0))</f>
        <v>0.04</v>
      </c>
      <c r="AI25" s="31" t="str">
        <f>IF(VLOOKUP($A25,Input!$A$46:$B$58,2,FALSE)="Percentage",AJ$22,IF(VLOOKUP($A25,Input!$A$46:$B$58,2,FALSE)="Fixed","Fixed",(AI$22)))</f>
        <v>Fixed</v>
      </c>
      <c r="AJ25" s="25">
        <f t="shared" ref="AJ25:AJ36" si="20">ROUND(IF(AI25="Fixed",AH25,(AH25*AI25)),2)</f>
        <v>0.04</v>
      </c>
      <c r="AL25" s="173">
        <f>INDEX(Input!$C$46:$AM$58,MATCH($A25,Input!$A$46:$A$58,0),MATCH(AL$13,Input!$C$45:$AM$45,0))</f>
        <v>0.04</v>
      </c>
      <c r="AM25" s="31" t="str">
        <f>IF(VLOOKUP($A25,Input!$A$46:$B$58,2,FALSE)="Percentage",AN$22,IF(VLOOKUP($A25,Input!$A$46:$B$58,2,FALSE)="Fixed","Fixed",(AM$22)))</f>
        <v>Fixed</v>
      </c>
      <c r="AN25" s="25">
        <f t="shared" ref="AN25:AN36" si="21">ROUND(IF(AM25="Fixed",AL25,(AL25*AM25)),2)</f>
        <v>0.04</v>
      </c>
      <c r="AP25" s="173">
        <f>INDEX(Input!$C$46:$AM$58,MATCH($A25,Input!$A$46:$A$58,0),MATCH(AP$13,Input!$C$45:$AM$45,0))</f>
        <v>0.04</v>
      </c>
      <c r="AQ25" s="31" t="str">
        <f>IF(VLOOKUP($A25,Input!$A$46:$B$58,2,FALSE)="Percentage",AR$22,IF(VLOOKUP($A25,Input!$A$46:$B$58,2,FALSE)="Fixed","Fixed",(AQ$22)))</f>
        <v>Fixed</v>
      </c>
      <c r="AR25" s="25">
        <f t="shared" ref="AR25:AR36" si="22">ROUND(IF(AQ25="Fixed",AP25,(AP25*AQ25)),2)</f>
        <v>0.04</v>
      </c>
      <c r="AT25" s="173">
        <f>INDEX(Input!$C$46:$AM$58,MATCH($A25,Input!$A$46:$A$58,0),MATCH(AT$13,Input!$C$45:$AM$45,0))</f>
        <v>0.04</v>
      </c>
      <c r="AU25" s="31" t="str">
        <f>IF(VLOOKUP($A25,Input!$A$46:$B$58,2,FALSE)="Percentage",AV$22,IF(VLOOKUP($A25,Input!$A$46:$B$58,2,FALSE)="Fixed","Fixed",(AU$22)))</f>
        <v>Fixed</v>
      </c>
      <c r="AV25" s="25">
        <f t="shared" ref="AV25:AV36" si="23">ROUND(IF(AU25="Fixed",AT25,(AT25*AU25)),2)</f>
        <v>0.04</v>
      </c>
    </row>
    <row r="26" spans="1:48" x14ac:dyDescent="0.55000000000000004">
      <c r="A26" t="str">
        <f>Input!A47</f>
        <v>SRF 2</v>
      </c>
      <c r="B26" s="173">
        <f>INDEX(Input!$C$46:$AM$58,MATCH($A26,Input!$A$46:$A$58,0),MATCH(B$13,Input!$C$45:$AM$45,0))</f>
        <v>0.02</v>
      </c>
      <c r="C26" s="31" t="str">
        <f>IF(VLOOKUP($A26,Input!$A$46:$B$58,2,FALSE)="Percentage",D$22,IF(VLOOKUP($A26,Input!$A$46:$B$58,2,FALSE)="Fixed","Fixed",(C$22)))</f>
        <v>Fixed</v>
      </c>
      <c r="D26" s="25">
        <f t="shared" si="12"/>
        <v>0.02</v>
      </c>
      <c r="F26" s="173">
        <f>INDEX(Input!$C$46:$AM$58,MATCH($A26,Input!$A$46:$A$58,0),MATCH(F$13,Input!$C$45:$AM$45,0))</f>
        <v>0.02</v>
      </c>
      <c r="G26" s="31" t="str">
        <f>IF(VLOOKUP($A26,Input!$A$46:$B$58,2,FALSE)="Percentage",H$22,IF(VLOOKUP($A26,Input!$A$46:$B$58,2,FALSE)="Fixed","Fixed",(G$22)))</f>
        <v>Fixed</v>
      </c>
      <c r="H26" s="25">
        <f t="shared" si="13"/>
        <v>0.02</v>
      </c>
      <c r="J26" s="173">
        <f>INDEX(Input!$C$46:$AM$58,MATCH($A26,Input!$A$46:$A$58,0),MATCH(J$13,Input!$C$45:$AM$45,0))</f>
        <v>0.02</v>
      </c>
      <c r="K26" s="31" t="str">
        <f>IF(VLOOKUP($A26,Input!$A$46:$B$58,2,FALSE)="Percentage",L$22,IF(VLOOKUP($A26,Input!$A$46:$B$58,2,FALSE)="Fixed","Fixed",(K$22)))</f>
        <v>Fixed</v>
      </c>
      <c r="L26" s="25">
        <f t="shared" si="14"/>
        <v>0.02</v>
      </c>
      <c r="N26" s="173">
        <f>INDEX(Input!$C$46:$AM$58,MATCH($A26,Input!$A$46:$A$58,0),MATCH(N$13,Input!$C$45:$AM$45,0))</f>
        <v>0.02</v>
      </c>
      <c r="O26" s="31" t="str">
        <f>IF(VLOOKUP($A26,Input!$A$46:$B$58,2,FALSE)="Percentage",P$22,IF(VLOOKUP($A26,Input!$A$46:$B$58,2,FALSE)="Fixed","Fixed",(O$22)))</f>
        <v>Fixed</v>
      </c>
      <c r="P26" s="25">
        <f t="shared" si="15"/>
        <v>0.02</v>
      </c>
      <c r="R26" s="173">
        <f>INDEX(Input!$C$46:$AM$58,MATCH($A26,Input!$A$46:$A$58,0),MATCH(R$13,Input!$C$45:$AM$45,0))</f>
        <v>0.02</v>
      </c>
      <c r="S26" s="31" t="str">
        <f>IF(VLOOKUP($A26,Input!$A$46:$B$58,2,FALSE)="Percentage",T$22,IF(VLOOKUP($A26,Input!$A$46:$B$58,2,FALSE)="Fixed","Fixed",(S$22)))</f>
        <v>Fixed</v>
      </c>
      <c r="T26" s="25">
        <f t="shared" si="16"/>
        <v>0.02</v>
      </c>
      <c r="V26" s="173">
        <f>INDEX(Input!$C$46:$AM$58,MATCH($A26,Input!$A$46:$A$58,0),MATCH(V$13,Input!$C$45:$AM$45,0))</f>
        <v>0.02</v>
      </c>
      <c r="W26" s="31" t="str">
        <f>IF(VLOOKUP($A26,Input!$A$46:$B$58,2,FALSE)="Percentage",X$22,IF(VLOOKUP($A26,Input!$A$46:$B$58,2,FALSE)="Fixed","Fixed",(W$22)))</f>
        <v>Fixed</v>
      </c>
      <c r="X26" s="25">
        <f t="shared" si="17"/>
        <v>0.02</v>
      </c>
      <c r="Z26" s="173">
        <f>INDEX(Input!$C$46:$AM$58,MATCH($A26,Input!$A$46:$A$58,0),MATCH(Z$13,Input!$C$45:$AM$45,0))</f>
        <v>0.02</v>
      </c>
      <c r="AA26" s="31" t="str">
        <f>IF(VLOOKUP($A26,Input!$A$46:$B$58,2,FALSE)="Percentage",AB$22,IF(VLOOKUP($A26,Input!$A$46:$B$58,2,FALSE)="Fixed","Fixed",(AA$22)))</f>
        <v>Fixed</v>
      </c>
      <c r="AB26" s="25">
        <f t="shared" si="18"/>
        <v>0.02</v>
      </c>
      <c r="AD26" s="173">
        <f>INDEX(Input!$C$46:$AM$58,MATCH($A26,Input!$A$46:$A$58,0),MATCH(AD$13,Input!$C$45:$AM$45,0))</f>
        <v>0.02</v>
      </c>
      <c r="AE26" s="31" t="str">
        <f>IF(VLOOKUP($A26,Input!$A$46:$B$58,2,FALSE)="Percentage",AF$22,IF(VLOOKUP($A26,Input!$A$46:$B$58,2,FALSE)="Fixed","Fixed",(AE$22)))</f>
        <v>Fixed</v>
      </c>
      <c r="AF26" s="25">
        <f t="shared" si="19"/>
        <v>0.02</v>
      </c>
      <c r="AH26" s="173">
        <f>INDEX(Input!$C$46:$AM$58,MATCH($A26,Input!$A$46:$A$58,0),MATCH(AH$13,Input!$C$45:$AM$45,0))</f>
        <v>0.02</v>
      </c>
      <c r="AI26" s="31" t="str">
        <f>IF(VLOOKUP($A26,Input!$A$46:$B$58,2,FALSE)="Percentage",AJ$22,IF(VLOOKUP($A26,Input!$A$46:$B$58,2,FALSE)="Fixed","Fixed",(AI$22)))</f>
        <v>Fixed</v>
      </c>
      <c r="AJ26" s="25">
        <f t="shared" si="20"/>
        <v>0.02</v>
      </c>
      <c r="AL26" s="173">
        <f>INDEX(Input!$C$46:$AM$58,MATCH($A26,Input!$A$46:$A$58,0),MATCH(AL$13,Input!$C$45:$AM$45,0))</f>
        <v>0.02</v>
      </c>
      <c r="AM26" s="31" t="str">
        <f>IF(VLOOKUP($A26,Input!$A$46:$B$58,2,FALSE)="Percentage",AN$22,IF(VLOOKUP($A26,Input!$A$46:$B$58,2,FALSE)="Fixed","Fixed",(AM$22)))</f>
        <v>Fixed</v>
      </c>
      <c r="AN26" s="25">
        <f t="shared" si="21"/>
        <v>0.02</v>
      </c>
      <c r="AP26" s="173">
        <f>INDEX(Input!$C$46:$AM$58,MATCH($A26,Input!$A$46:$A$58,0),MATCH(AP$13,Input!$C$45:$AM$45,0))</f>
        <v>0.02</v>
      </c>
      <c r="AQ26" s="31" t="str">
        <f>IF(VLOOKUP($A26,Input!$A$46:$B$58,2,FALSE)="Percentage",AR$22,IF(VLOOKUP($A26,Input!$A$46:$B$58,2,FALSE)="Fixed","Fixed",(AQ$22)))</f>
        <v>Fixed</v>
      </c>
      <c r="AR26" s="25">
        <f t="shared" si="22"/>
        <v>0.02</v>
      </c>
      <c r="AT26" s="173">
        <f>INDEX(Input!$C$46:$AM$58,MATCH($A26,Input!$A$46:$A$58,0),MATCH(AT$13,Input!$C$45:$AM$45,0))</f>
        <v>0.02</v>
      </c>
      <c r="AU26" s="31" t="str">
        <f>IF(VLOOKUP($A26,Input!$A$46:$B$58,2,FALSE)="Percentage",AV$22,IF(VLOOKUP($A26,Input!$A$46:$B$58,2,FALSE)="Fixed","Fixed",(AU$22)))</f>
        <v>Fixed</v>
      </c>
      <c r="AV26" s="25">
        <f t="shared" si="23"/>
        <v>0.02</v>
      </c>
    </row>
    <row r="27" spans="1:48" x14ac:dyDescent="0.55000000000000004">
      <c r="A27" t="str">
        <f>Input!A48</f>
        <v>WRAP</v>
      </c>
      <c r="B27" s="173">
        <f>INDEX(Input!$C$46:$AM$58,MATCH($A27,Input!$A$46:$A$58,0),MATCH(B$13,Input!$C$45:$AM$45,0))</f>
        <v>1.45</v>
      </c>
      <c r="C27" s="31" t="str">
        <f>IF(VLOOKUP($A27,Input!$A$46:$B$58,2,FALSE)="Percentage",D$22,IF(VLOOKUP($A27,Input!$A$46:$B$58,2,FALSE)="Fixed","Fixed",(C$22)))</f>
        <v>Fixed</v>
      </c>
      <c r="D27" s="25">
        <f t="shared" si="12"/>
        <v>1.45</v>
      </c>
      <c r="F27" s="173">
        <f>INDEX(Input!$C$46:$AM$58,MATCH($A27,Input!$A$46:$A$58,0),MATCH(F$13,Input!$C$45:$AM$45,0))</f>
        <v>1.45</v>
      </c>
      <c r="G27" s="31" t="str">
        <f>IF(VLOOKUP($A27,Input!$A$46:$B$58,2,FALSE)="Percentage",H$22,IF(VLOOKUP($A27,Input!$A$46:$B$58,2,FALSE)="Fixed","Fixed",(G$22)))</f>
        <v>Fixed</v>
      </c>
      <c r="H27" s="25">
        <f t="shared" si="13"/>
        <v>1.45</v>
      </c>
      <c r="J27" s="173">
        <f>INDEX(Input!$C$46:$AM$58,MATCH($A27,Input!$A$46:$A$58,0),MATCH(J$13,Input!$C$45:$AM$45,0))</f>
        <v>1.45</v>
      </c>
      <c r="K27" s="31" t="str">
        <f>IF(VLOOKUP($A27,Input!$A$46:$B$58,2,FALSE)="Percentage",L$22,IF(VLOOKUP($A27,Input!$A$46:$B$58,2,FALSE)="Fixed","Fixed",(K$22)))</f>
        <v>Fixed</v>
      </c>
      <c r="L27" s="25">
        <f t="shared" si="14"/>
        <v>1.45</v>
      </c>
      <c r="N27" s="173">
        <f>INDEX(Input!$C$46:$AM$58,MATCH($A27,Input!$A$46:$A$58,0),MATCH(N$13,Input!$C$45:$AM$45,0))</f>
        <v>1.45</v>
      </c>
      <c r="O27" s="31" t="str">
        <f>IF(VLOOKUP($A27,Input!$A$46:$B$58,2,FALSE)="Percentage",P$22,IF(VLOOKUP($A27,Input!$A$46:$B$58,2,FALSE)="Fixed","Fixed",(O$22)))</f>
        <v>Fixed</v>
      </c>
      <c r="P27" s="25">
        <f t="shared" si="15"/>
        <v>1.45</v>
      </c>
      <c r="R27" s="173">
        <f>INDEX(Input!$C$46:$AM$58,MATCH($A27,Input!$A$46:$A$58,0),MATCH(R$13,Input!$C$45:$AM$45,0))</f>
        <v>1.45</v>
      </c>
      <c r="S27" s="31" t="str">
        <f>IF(VLOOKUP($A27,Input!$A$46:$B$58,2,FALSE)="Percentage",T$22,IF(VLOOKUP($A27,Input!$A$46:$B$58,2,FALSE)="Fixed","Fixed",(S$22)))</f>
        <v>Fixed</v>
      </c>
      <c r="T27" s="25">
        <f t="shared" si="16"/>
        <v>1.45</v>
      </c>
      <c r="V27" s="173">
        <f>INDEX(Input!$C$46:$AM$58,MATCH($A27,Input!$A$46:$A$58,0),MATCH(V$13,Input!$C$45:$AM$45,0))</f>
        <v>1.45</v>
      </c>
      <c r="W27" s="31" t="str">
        <f>IF(VLOOKUP($A27,Input!$A$46:$B$58,2,FALSE)="Percentage",X$22,IF(VLOOKUP($A27,Input!$A$46:$B$58,2,FALSE)="Fixed","Fixed",(W$22)))</f>
        <v>Fixed</v>
      </c>
      <c r="X27" s="25">
        <f t="shared" si="17"/>
        <v>1.45</v>
      </c>
      <c r="Z27" s="173">
        <f>INDEX(Input!$C$46:$AM$58,MATCH($A27,Input!$A$46:$A$58,0),MATCH(Z$13,Input!$C$45:$AM$45,0))</f>
        <v>1.45</v>
      </c>
      <c r="AA27" s="31" t="str">
        <f>IF(VLOOKUP($A27,Input!$A$46:$B$58,2,FALSE)="Percentage",AB$22,IF(VLOOKUP($A27,Input!$A$46:$B$58,2,FALSE)="Fixed","Fixed",(AA$22)))</f>
        <v>Fixed</v>
      </c>
      <c r="AB27" s="25">
        <f t="shared" si="18"/>
        <v>1.45</v>
      </c>
      <c r="AD27" s="173">
        <f>INDEX(Input!$C$46:$AM$58,MATCH($A27,Input!$A$46:$A$58,0),MATCH(AD$13,Input!$C$45:$AM$45,0))</f>
        <v>1.45</v>
      </c>
      <c r="AE27" s="31" t="str">
        <f>IF(VLOOKUP($A27,Input!$A$46:$B$58,2,FALSE)="Percentage",AF$22,IF(VLOOKUP($A27,Input!$A$46:$B$58,2,FALSE)="Fixed","Fixed",(AE$22)))</f>
        <v>Fixed</v>
      </c>
      <c r="AF27" s="25">
        <f t="shared" si="19"/>
        <v>1.45</v>
      </c>
      <c r="AH27" s="173">
        <f>INDEX(Input!$C$46:$AM$58,MATCH($A27,Input!$A$46:$A$58,0),MATCH(AH$13,Input!$C$45:$AM$45,0))</f>
        <v>1.45</v>
      </c>
      <c r="AI27" s="31" t="str">
        <f>IF(VLOOKUP($A27,Input!$A$46:$B$58,2,FALSE)="Percentage",AJ$22,IF(VLOOKUP($A27,Input!$A$46:$B$58,2,FALSE)="Fixed","Fixed",(AI$22)))</f>
        <v>Fixed</v>
      </c>
      <c r="AJ27" s="25">
        <f t="shared" si="20"/>
        <v>1.45</v>
      </c>
      <c r="AL27" s="173">
        <f>INDEX(Input!$C$46:$AM$58,MATCH($A27,Input!$A$46:$A$58,0),MATCH(AL$13,Input!$C$45:$AM$45,0))</f>
        <v>1.45</v>
      </c>
      <c r="AM27" s="31" t="str">
        <f>IF(VLOOKUP($A27,Input!$A$46:$B$58,2,FALSE)="Percentage",AN$22,IF(VLOOKUP($A27,Input!$A$46:$B$58,2,FALSE)="Fixed","Fixed",(AM$22)))</f>
        <v>Fixed</v>
      </c>
      <c r="AN27" s="25">
        <f t="shared" si="21"/>
        <v>1.45</v>
      </c>
      <c r="AP27" s="173">
        <f>INDEX(Input!$C$46:$AM$58,MATCH($A27,Input!$A$46:$A$58,0),MATCH(AP$13,Input!$C$45:$AM$45,0))</f>
        <v>1.45</v>
      </c>
      <c r="AQ27" s="31" t="str">
        <f>IF(VLOOKUP($A27,Input!$A$46:$B$58,2,FALSE)="Percentage",AR$22,IF(VLOOKUP($A27,Input!$A$46:$B$58,2,FALSE)="Fixed","Fixed",(AQ$22)))</f>
        <v>Fixed</v>
      </c>
      <c r="AR27" s="25">
        <f t="shared" si="22"/>
        <v>1.45</v>
      </c>
      <c r="AT27" s="173">
        <f>INDEX(Input!$C$46:$AM$58,MATCH($A27,Input!$A$46:$A$58,0),MATCH(AT$13,Input!$C$45:$AM$45,0))</f>
        <v>1.45</v>
      </c>
      <c r="AU27" s="31" t="str">
        <f>IF(VLOOKUP($A27,Input!$A$46:$B$58,2,FALSE)="Percentage",AV$22,IF(VLOOKUP($A27,Input!$A$46:$B$58,2,FALSE)="Fixed","Fixed",(AU$22)))</f>
        <v>Fixed</v>
      </c>
      <c r="AV27" s="25">
        <f t="shared" si="23"/>
        <v>1.45</v>
      </c>
    </row>
    <row r="28" spans="1:48" x14ac:dyDescent="0.55000000000000004">
      <c r="A28" t="str">
        <f>Input!A49</f>
        <v>PRVMA</v>
      </c>
      <c r="B28" s="173">
        <f>INDEX(Input!$C$46:$AM$58,MATCH($A28,Input!$A$46:$A$58,0),MATCH(B$13,Input!$C$45:$AM$45,0))</f>
        <v>8.8400000000000006E-3</v>
      </c>
      <c r="C28" s="31">
        <f>IF(VLOOKUP($A28,Input!$A$46:$B$58,2,FALSE)="Percentage",D$22,IF(VLOOKUP($A28,Input!$A$46:$B$58,2,FALSE)="Fixed","Fixed",(C$22)))</f>
        <v>11</v>
      </c>
      <c r="D28" s="25">
        <f t="shared" si="12"/>
        <v>0.1</v>
      </c>
      <c r="F28" s="173">
        <f>INDEX(Input!$C$46:$AM$58,MATCH($A28,Input!$A$46:$A$58,0),MATCH(F$13,Input!$C$45:$AM$45,0))</f>
        <v>8.8400000000000006E-3</v>
      </c>
      <c r="G28" s="31">
        <f>IF(VLOOKUP($A28,Input!$A$46:$B$58,2,FALSE)="Percentage",H$22,IF(VLOOKUP($A28,Input!$A$46:$B$58,2,FALSE)="Fixed","Fixed",(G$22)))</f>
        <v>11</v>
      </c>
      <c r="H28" s="25">
        <f t="shared" si="13"/>
        <v>0.1</v>
      </c>
      <c r="J28" s="173">
        <f>INDEX(Input!$C$46:$AM$58,MATCH($A28,Input!$A$46:$A$58,0),MATCH(J$13,Input!$C$45:$AM$45,0))</f>
        <v>8.8400000000000006E-3</v>
      </c>
      <c r="K28" s="31">
        <f>IF(VLOOKUP($A28,Input!$A$46:$B$58,2,FALSE)="Percentage",L$22,IF(VLOOKUP($A28,Input!$A$46:$B$58,2,FALSE)="Fixed","Fixed",(K$22)))</f>
        <v>11</v>
      </c>
      <c r="L28" s="25">
        <f t="shared" si="14"/>
        <v>0.1</v>
      </c>
      <c r="N28" s="173">
        <f>INDEX(Input!$C$46:$AM$58,MATCH($A28,Input!$A$46:$A$58,0),MATCH(N$13,Input!$C$45:$AM$45,0))</f>
        <v>8.8400000000000006E-3</v>
      </c>
      <c r="O28" s="31">
        <f>IF(VLOOKUP($A28,Input!$A$46:$B$58,2,FALSE)="Percentage",P$22,IF(VLOOKUP($A28,Input!$A$46:$B$58,2,FALSE)="Fixed","Fixed",(O$22)))</f>
        <v>11</v>
      </c>
      <c r="P28" s="25">
        <f t="shared" si="15"/>
        <v>0.1</v>
      </c>
      <c r="R28" s="173">
        <f>INDEX(Input!$C$46:$AM$58,MATCH($A28,Input!$A$46:$A$58,0),MATCH(R$13,Input!$C$45:$AM$45,0))</f>
        <v>8.8400000000000006E-3</v>
      </c>
      <c r="S28" s="31">
        <f>IF(VLOOKUP($A28,Input!$A$46:$B$58,2,FALSE)="Percentage",T$22,IF(VLOOKUP($A28,Input!$A$46:$B$58,2,FALSE)="Fixed","Fixed",(S$22)))</f>
        <v>11</v>
      </c>
      <c r="T28" s="25">
        <f t="shared" si="16"/>
        <v>0.1</v>
      </c>
      <c r="V28" s="173">
        <f>INDEX(Input!$C$46:$AM$58,MATCH($A28,Input!$A$46:$A$58,0),MATCH(V$13,Input!$C$45:$AM$45,0))</f>
        <v>8.8400000000000006E-3</v>
      </c>
      <c r="W28" s="31">
        <f>IF(VLOOKUP($A28,Input!$A$46:$B$58,2,FALSE)="Percentage",X$22,IF(VLOOKUP($A28,Input!$A$46:$B$58,2,FALSE)="Fixed","Fixed",(W$22)))</f>
        <v>11</v>
      </c>
      <c r="X28" s="25">
        <f t="shared" si="17"/>
        <v>0.1</v>
      </c>
      <c r="Z28" s="173">
        <f>INDEX(Input!$C$46:$AM$58,MATCH($A28,Input!$A$46:$A$58,0),MATCH(Z$13,Input!$C$45:$AM$45,0))</f>
        <v>8.8400000000000006E-3</v>
      </c>
      <c r="AA28" s="31">
        <f>IF(VLOOKUP($A28,Input!$A$46:$B$58,2,FALSE)="Percentage",AB$22,IF(VLOOKUP($A28,Input!$A$46:$B$58,2,FALSE)="Fixed","Fixed",(AA$22)))</f>
        <v>11</v>
      </c>
      <c r="AB28" s="25">
        <f t="shared" si="18"/>
        <v>0.1</v>
      </c>
      <c r="AD28" s="173">
        <f>INDEX(Input!$C$46:$AM$58,MATCH($A28,Input!$A$46:$A$58,0),MATCH(AD$13,Input!$C$45:$AM$45,0))</f>
        <v>8.8400000000000006E-3</v>
      </c>
      <c r="AE28" s="31">
        <f>IF(VLOOKUP($A28,Input!$A$46:$B$58,2,FALSE)="Percentage",AF$22,IF(VLOOKUP($A28,Input!$A$46:$B$58,2,FALSE)="Fixed","Fixed",(AE$22)))</f>
        <v>11</v>
      </c>
      <c r="AF28" s="25">
        <f t="shared" si="19"/>
        <v>0.1</v>
      </c>
      <c r="AH28" s="173">
        <f>INDEX(Input!$C$46:$AM$58,MATCH($A28,Input!$A$46:$A$58,0),MATCH(AH$13,Input!$C$45:$AM$45,0))</f>
        <v>0</v>
      </c>
      <c r="AI28" s="31">
        <f>IF(VLOOKUP($A28,Input!$A$46:$B$58,2,FALSE)="Percentage",AJ$22,IF(VLOOKUP($A28,Input!$A$46:$B$58,2,FALSE)="Fixed","Fixed",(AI$22)))</f>
        <v>11</v>
      </c>
      <c r="AJ28" s="25">
        <f t="shared" si="20"/>
        <v>0</v>
      </c>
      <c r="AL28" s="173">
        <f>INDEX(Input!$C$46:$AM$58,MATCH($A28,Input!$A$46:$A$58,0),MATCH(AL$13,Input!$C$45:$AM$45,0))</f>
        <v>0</v>
      </c>
      <c r="AM28" s="31">
        <f>IF(VLOOKUP($A28,Input!$A$46:$B$58,2,FALSE)="Percentage",AN$22,IF(VLOOKUP($A28,Input!$A$46:$B$58,2,FALSE)="Fixed","Fixed",(AM$22)))</f>
        <v>11</v>
      </c>
      <c r="AN28" s="25">
        <f t="shared" si="21"/>
        <v>0</v>
      </c>
      <c r="AP28" s="173">
        <f>INDEX(Input!$C$46:$AM$58,MATCH($A28,Input!$A$46:$A$58,0),MATCH(AP$13,Input!$C$45:$AM$45,0))</f>
        <v>0</v>
      </c>
      <c r="AQ28" s="31">
        <f>IF(VLOOKUP($A28,Input!$A$46:$B$58,2,FALSE)="Percentage",AR$22,IF(VLOOKUP($A28,Input!$A$46:$B$58,2,FALSE)="Fixed","Fixed",(AQ$22)))</f>
        <v>11</v>
      </c>
      <c r="AR28" s="25">
        <f t="shared" si="22"/>
        <v>0</v>
      </c>
      <c r="AT28" s="173">
        <f>INDEX(Input!$C$46:$AM$58,MATCH($A28,Input!$A$46:$A$58,0),MATCH(AT$13,Input!$C$45:$AM$45,0))</f>
        <v>0</v>
      </c>
      <c r="AU28" s="31">
        <f>IF(VLOOKUP($A28,Input!$A$46:$B$58,2,FALSE)="Percentage",AV$22,IF(VLOOKUP($A28,Input!$A$46:$B$58,2,FALSE)="Fixed","Fixed",(AU$22)))</f>
        <v>11</v>
      </c>
      <c r="AV28" s="25">
        <f t="shared" si="23"/>
        <v>0</v>
      </c>
    </row>
    <row r="29" spans="1:48" x14ac:dyDescent="0.55000000000000004">
      <c r="A29" t="str">
        <f>Input!A50</f>
        <v>2022 Surcredit</v>
      </c>
      <c r="B29" s="173">
        <f>INDEX(Input!$C$46:$AM$58,MATCH($A29,Input!$A$46:$A$58,0),MATCH(B$13,Input!$C$45:$AM$45,0))</f>
        <v>0</v>
      </c>
      <c r="C29" s="31" t="str">
        <f>IF(VLOOKUP($A29,Input!$A$46:$B$58,2,FALSE)="Percentage",D$22,IF(VLOOKUP($A29,Input!$A$46:$B$58,2,FALSE)="Fixed","Fixed",(C$22)))</f>
        <v>Fixed</v>
      </c>
      <c r="D29" s="25">
        <f t="shared" si="12"/>
        <v>0</v>
      </c>
      <c r="F29" s="173">
        <f>INDEX(Input!$C$46:$AM$58,MATCH($A29,Input!$A$46:$A$58,0),MATCH(F$13,Input!$C$45:$AM$45,0))</f>
        <v>0</v>
      </c>
      <c r="G29" s="31" t="str">
        <f>IF(VLOOKUP($A29,Input!$A$46:$B$58,2,FALSE)="Percentage",H$22,IF(VLOOKUP($A29,Input!$A$46:$B$58,2,FALSE)="Fixed","Fixed",(G$22)))</f>
        <v>Fixed</v>
      </c>
      <c r="H29" s="25">
        <f t="shared" si="13"/>
        <v>0</v>
      </c>
      <c r="J29" s="173">
        <f>INDEX(Input!$C$46:$AM$58,MATCH($A29,Input!$A$46:$A$58,0),MATCH(J$13,Input!$C$45:$AM$45,0))</f>
        <v>0</v>
      </c>
      <c r="K29" s="31" t="str">
        <f>IF(VLOOKUP($A29,Input!$A$46:$B$58,2,FALSE)="Percentage",L$22,IF(VLOOKUP($A29,Input!$A$46:$B$58,2,FALSE)="Fixed","Fixed",(K$22)))</f>
        <v>Fixed</v>
      </c>
      <c r="L29" s="25">
        <f t="shared" si="14"/>
        <v>0</v>
      </c>
      <c r="N29" s="173">
        <f>INDEX(Input!$C$46:$AM$58,MATCH($A29,Input!$A$46:$A$58,0),MATCH(N$13,Input!$C$45:$AM$45,0))</f>
        <v>0</v>
      </c>
      <c r="O29" s="31" t="str">
        <f>IF(VLOOKUP($A29,Input!$A$46:$B$58,2,FALSE)="Percentage",P$22,IF(VLOOKUP($A29,Input!$A$46:$B$58,2,FALSE)="Fixed","Fixed",(O$22)))</f>
        <v>Fixed</v>
      </c>
      <c r="P29" s="25">
        <f t="shared" si="15"/>
        <v>0</v>
      </c>
      <c r="R29" s="173">
        <f>INDEX(Input!$C$46:$AM$58,MATCH($A29,Input!$A$46:$A$58,0),MATCH(R$13,Input!$C$45:$AM$45,0))</f>
        <v>0</v>
      </c>
      <c r="S29" s="31" t="str">
        <f>IF(VLOOKUP($A29,Input!$A$46:$B$58,2,FALSE)="Percentage",T$22,IF(VLOOKUP($A29,Input!$A$46:$B$58,2,FALSE)="Fixed","Fixed",(S$22)))</f>
        <v>Fixed</v>
      </c>
      <c r="T29" s="25">
        <f t="shared" si="16"/>
        <v>0</v>
      </c>
      <c r="V29" s="173">
        <f>INDEX(Input!$C$46:$AM$58,MATCH($A29,Input!$A$46:$A$58,0),MATCH(V$13,Input!$C$45:$AM$45,0))</f>
        <v>0</v>
      </c>
      <c r="W29" s="31" t="str">
        <f>IF(VLOOKUP($A29,Input!$A$46:$B$58,2,FALSE)="Percentage",X$22,IF(VLOOKUP($A29,Input!$A$46:$B$58,2,FALSE)="Fixed","Fixed",(W$22)))</f>
        <v>Fixed</v>
      </c>
      <c r="X29" s="25">
        <f t="shared" si="17"/>
        <v>0</v>
      </c>
      <c r="Z29" s="173">
        <f>INDEX(Input!$C$46:$AM$58,MATCH($A29,Input!$A$46:$A$58,0),MATCH(Z$13,Input!$C$45:$AM$45,0))</f>
        <v>0</v>
      </c>
      <c r="AA29" s="31" t="str">
        <f>IF(VLOOKUP($A29,Input!$A$46:$B$58,2,FALSE)="Percentage",AB$22,IF(VLOOKUP($A29,Input!$A$46:$B$58,2,FALSE)="Fixed","Fixed",(AA$22)))</f>
        <v>Fixed</v>
      </c>
      <c r="AB29" s="25">
        <f t="shared" si="18"/>
        <v>0</v>
      </c>
      <c r="AD29" s="173">
        <f>INDEX(Input!$C$46:$AM$58,MATCH($A29,Input!$A$46:$A$58,0),MATCH(AD$13,Input!$C$45:$AM$45,0))</f>
        <v>0</v>
      </c>
      <c r="AE29" s="31" t="str">
        <f>IF(VLOOKUP($A29,Input!$A$46:$B$58,2,FALSE)="Percentage",AF$22,IF(VLOOKUP($A29,Input!$A$46:$B$58,2,FALSE)="Fixed","Fixed",(AE$22)))</f>
        <v>Fixed</v>
      </c>
      <c r="AF29" s="25">
        <f t="shared" si="19"/>
        <v>0</v>
      </c>
      <c r="AH29" s="173">
        <f>INDEX(Input!$C$46:$AM$58,MATCH($A29,Input!$A$46:$A$58,0),MATCH(AH$13,Input!$C$45:$AM$45,0))</f>
        <v>0</v>
      </c>
      <c r="AI29" s="31" t="str">
        <f>IF(VLOOKUP($A29,Input!$A$46:$B$58,2,FALSE)="Percentage",AJ$22,IF(VLOOKUP($A29,Input!$A$46:$B$58,2,FALSE)="Fixed","Fixed",(AI$22)))</f>
        <v>Fixed</v>
      </c>
      <c r="AJ29" s="25">
        <f t="shared" si="20"/>
        <v>0</v>
      </c>
      <c r="AL29" s="173">
        <f>INDEX(Input!$C$46:$AM$58,MATCH($A29,Input!$A$46:$A$58,0),MATCH(AL$13,Input!$C$45:$AM$45,0))</f>
        <v>0</v>
      </c>
      <c r="AM29" s="31" t="str">
        <f>IF(VLOOKUP($A29,Input!$A$46:$B$58,2,FALSE)="Percentage",AN$22,IF(VLOOKUP($A29,Input!$A$46:$B$58,2,FALSE)="Fixed","Fixed",(AM$22)))</f>
        <v>Fixed</v>
      </c>
      <c r="AN29" s="25">
        <f t="shared" si="21"/>
        <v>0</v>
      </c>
      <c r="AP29" s="173">
        <f>INDEX(Input!$C$46:$AM$58,MATCH($A29,Input!$A$46:$A$58,0),MATCH(AP$13,Input!$C$45:$AM$45,0))</f>
        <v>0</v>
      </c>
      <c r="AQ29" s="31" t="str">
        <f>IF(VLOOKUP($A29,Input!$A$46:$B$58,2,FALSE)="Percentage",AR$22,IF(VLOOKUP($A29,Input!$A$46:$B$58,2,FALSE)="Fixed","Fixed",(AQ$22)))</f>
        <v>Fixed</v>
      </c>
      <c r="AR29" s="25">
        <f t="shared" si="22"/>
        <v>0</v>
      </c>
      <c r="AT29" s="173">
        <f>INDEX(Input!$C$46:$AM$58,MATCH($A29,Input!$A$46:$A$58,0),MATCH(AT$13,Input!$C$45:$AM$45,0))</f>
        <v>0</v>
      </c>
      <c r="AU29" s="31" t="str">
        <f>IF(VLOOKUP($A29,Input!$A$46:$B$58,2,FALSE)="Percentage",AV$22,IF(VLOOKUP($A29,Input!$A$46:$B$58,2,FALSE)="Fixed","Fixed",(AU$22)))</f>
        <v>Fixed</v>
      </c>
      <c r="AV29" s="25">
        <f t="shared" si="23"/>
        <v>0</v>
      </c>
    </row>
    <row r="30" spans="1:48" x14ac:dyDescent="0.55000000000000004">
      <c r="A30" t="str">
        <f>Input!A51</f>
        <v>Interim Memo Account Surcharge</v>
      </c>
      <c r="B30" s="173">
        <f>INDEX(Input!$C$46:$AM$58,MATCH($A30,Input!$A$46:$A$58,0),MATCH(B$13,Input!$C$45:$AM$45,0))</f>
        <v>0.44080000000000003</v>
      </c>
      <c r="C30" s="31">
        <f>IF(VLOOKUP($A30,Input!$A$46:$B$58,2,FALSE)="Percentage",D$22,IF(VLOOKUP($A30,Input!$A$46:$B$58,2,FALSE)="Fixed","Fixed",(C$22)))</f>
        <v>11</v>
      </c>
      <c r="D30" s="25">
        <f t="shared" si="12"/>
        <v>4.8499999999999996</v>
      </c>
      <c r="F30" s="173">
        <f>INDEX(Input!$C$46:$AM$58,MATCH($A30,Input!$A$46:$A$58,0),MATCH(F$13,Input!$C$45:$AM$45,0))</f>
        <v>0.44080000000000003</v>
      </c>
      <c r="G30" s="31">
        <f>IF(VLOOKUP($A30,Input!$A$46:$B$58,2,FALSE)="Percentage",H$22,IF(VLOOKUP($A30,Input!$A$46:$B$58,2,FALSE)="Fixed","Fixed",(G$22)))</f>
        <v>11</v>
      </c>
      <c r="H30" s="25">
        <f t="shared" si="13"/>
        <v>4.8499999999999996</v>
      </c>
      <c r="J30" s="173">
        <f>INDEX(Input!$C$46:$AM$58,MATCH($A30,Input!$A$46:$A$58,0),MATCH(J$13,Input!$C$45:$AM$45,0))</f>
        <v>0.44080000000000003</v>
      </c>
      <c r="K30" s="31">
        <f>IF(VLOOKUP($A30,Input!$A$46:$B$58,2,FALSE)="Percentage",L$22,IF(VLOOKUP($A30,Input!$A$46:$B$58,2,FALSE)="Fixed","Fixed",(K$22)))</f>
        <v>11</v>
      </c>
      <c r="L30" s="25">
        <f t="shared" si="14"/>
        <v>4.8499999999999996</v>
      </c>
      <c r="N30" s="173">
        <f>INDEX(Input!$C$46:$AM$58,MATCH($A30,Input!$A$46:$A$58,0),MATCH(N$13,Input!$C$45:$AM$45,0))</f>
        <v>0.44080000000000003</v>
      </c>
      <c r="O30" s="31">
        <f>IF(VLOOKUP($A30,Input!$A$46:$B$58,2,FALSE)="Percentage",P$22,IF(VLOOKUP($A30,Input!$A$46:$B$58,2,FALSE)="Fixed","Fixed",(O$22)))</f>
        <v>11</v>
      </c>
      <c r="P30" s="25">
        <f t="shared" si="15"/>
        <v>4.8499999999999996</v>
      </c>
      <c r="R30" s="173">
        <f>INDEX(Input!$C$46:$AM$58,MATCH($A30,Input!$A$46:$A$58,0),MATCH(R$13,Input!$C$45:$AM$45,0))</f>
        <v>0.44080000000000003</v>
      </c>
      <c r="S30" s="31">
        <f>IF(VLOOKUP($A30,Input!$A$46:$B$58,2,FALSE)="Percentage",T$22,IF(VLOOKUP($A30,Input!$A$46:$B$58,2,FALSE)="Fixed","Fixed",(S$22)))</f>
        <v>11</v>
      </c>
      <c r="T30" s="25">
        <f t="shared" si="16"/>
        <v>4.8499999999999996</v>
      </c>
      <c r="V30" s="173">
        <f>INDEX(Input!$C$46:$AM$58,MATCH($A30,Input!$A$46:$A$58,0),MATCH(V$13,Input!$C$45:$AM$45,0))</f>
        <v>0.44080000000000003</v>
      </c>
      <c r="W30" s="31">
        <f>IF(VLOOKUP($A30,Input!$A$46:$B$58,2,FALSE)="Percentage",X$22,IF(VLOOKUP($A30,Input!$A$46:$B$58,2,FALSE)="Fixed","Fixed",(W$22)))</f>
        <v>11</v>
      </c>
      <c r="X30" s="25">
        <f t="shared" si="17"/>
        <v>4.8499999999999996</v>
      </c>
      <c r="Z30" s="173">
        <f>INDEX(Input!$C$46:$AM$58,MATCH($A30,Input!$A$46:$A$58,0),MATCH(Z$13,Input!$C$45:$AM$45,0))</f>
        <v>0.44080000000000003</v>
      </c>
      <c r="AA30" s="31">
        <f>IF(VLOOKUP($A30,Input!$A$46:$B$58,2,FALSE)="Percentage",AB$22,IF(VLOOKUP($A30,Input!$A$46:$B$58,2,FALSE)="Fixed","Fixed",(AA$22)))</f>
        <v>11</v>
      </c>
      <c r="AB30" s="25">
        <f t="shared" si="18"/>
        <v>4.8499999999999996</v>
      </c>
      <c r="AD30" s="173">
        <f>INDEX(Input!$C$46:$AM$58,MATCH($A30,Input!$A$46:$A$58,0),MATCH(AD$13,Input!$C$45:$AM$45,0))</f>
        <v>0.44080000000000003</v>
      </c>
      <c r="AE30" s="31">
        <f>IF(VLOOKUP($A30,Input!$A$46:$B$58,2,FALSE)="Percentage",AF$22,IF(VLOOKUP($A30,Input!$A$46:$B$58,2,FALSE)="Fixed","Fixed",(AE$22)))</f>
        <v>11</v>
      </c>
      <c r="AF30" s="25">
        <f t="shared" si="19"/>
        <v>4.8499999999999996</v>
      </c>
      <c r="AH30" s="173">
        <f>INDEX(Input!$C$46:$AM$58,MATCH($A30,Input!$A$46:$A$58,0),MATCH(AH$13,Input!$C$45:$AM$45,0))</f>
        <v>0.44080000000000003</v>
      </c>
      <c r="AI30" s="31">
        <f>IF(VLOOKUP($A30,Input!$A$46:$B$58,2,FALSE)="Percentage",AJ$22,IF(VLOOKUP($A30,Input!$A$46:$B$58,2,FALSE)="Fixed","Fixed",(AI$22)))</f>
        <v>11</v>
      </c>
      <c r="AJ30" s="25">
        <f t="shared" si="20"/>
        <v>4.8499999999999996</v>
      </c>
      <c r="AL30" s="173">
        <f>INDEX(Input!$C$46:$AM$58,MATCH($A30,Input!$A$46:$A$58,0),MATCH(AL$13,Input!$C$45:$AM$45,0))</f>
        <v>0.44080000000000003</v>
      </c>
      <c r="AM30" s="31">
        <f>IF(VLOOKUP($A30,Input!$A$46:$B$58,2,FALSE)="Percentage",AN$22,IF(VLOOKUP($A30,Input!$A$46:$B$58,2,FALSE)="Fixed","Fixed",(AM$22)))</f>
        <v>11</v>
      </c>
      <c r="AN30" s="25">
        <f t="shared" si="21"/>
        <v>4.8499999999999996</v>
      </c>
      <c r="AP30" s="173">
        <f>INDEX(Input!$C$46:$AM$58,MATCH($A30,Input!$A$46:$A$58,0),MATCH(AP$13,Input!$C$45:$AM$45,0))</f>
        <v>0.44080000000000003</v>
      </c>
      <c r="AQ30" s="31">
        <f>IF(VLOOKUP($A30,Input!$A$46:$B$58,2,FALSE)="Percentage",AR$22,IF(VLOOKUP($A30,Input!$A$46:$B$58,2,FALSE)="Fixed","Fixed",(AQ$22)))</f>
        <v>11</v>
      </c>
      <c r="AR30" s="25">
        <f t="shared" si="22"/>
        <v>4.8499999999999996</v>
      </c>
      <c r="AT30" s="173">
        <f>INDEX(Input!$C$46:$AM$58,MATCH($A30,Input!$A$46:$A$58,0),MATCH(AT$13,Input!$C$45:$AM$45,0))</f>
        <v>0.44080000000000003</v>
      </c>
      <c r="AU30" s="31">
        <f>IF(VLOOKUP($A30,Input!$A$46:$B$58,2,FALSE)="Percentage",AV$22,IF(VLOOKUP($A30,Input!$A$46:$B$58,2,FALSE)="Fixed","Fixed",(AU$22)))</f>
        <v>11</v>
      </c>
      <c r="AV30" s="25">
        <f t="shared" si="23"/>
        <v>4.8499999999999996</v>
      </c>
    </row>
    <row r="31" spans="1:48" x14ac:dyDescent="0.55000000000000004">
      <c r="A31">
        <f>Input!A52</f>
        <v>0</v>
      </c>
      <c r="B31" s="173">
        <f>INDEX(Input!$C$46:$AM$58,MATCH($A31,Input!$A$46:$A$58,0),MATCH(B$13,Input!$C$45:$AM$45,0))</f>
        <v>0</v>
      </c>
      <c r="C31" s="31">
        <f>IF(VLOOKUP($A31,Input!$A$46:$B$58,2,FALSE)="Percentage",D$22,IF(VLOOKUP($A31,Input!$A$46:$B$58,2,FALSE)="Fixed","Fixed",(C$22)))</f>
        <v>11</v>
      </c>
      <c r="D31" s="25">
        <f t="shared" si="12"/>
        <v>0</v>
      </c>
      <c r="F31" s="173">
        <f>INDEX(Input!$C$46:$AM$58,MATCH($A31,Input!$A$46:$A$58,0),MATCH(F$13,Input!$C$45:$AM$45,0))</f>
        <v>0</v>
      </c>
      <c r="G31" s="31">
        <f>IF(VLOOKUP($A31,Input!$A$46:$B$58,2,FALSE)="Percentage",H$22,IF(VLOOKUP($A31,Input!$A$46:$B$58,2,FALSE)="Fixed","Fixed",(G$22)))</f>
        <v>11</v>
      </c>
      <c r="H31" s="25">
        <f t="shared" si="13"/>
        <v>0</v>
      </c>
      <c r="J31" s="173">
        <f>INDEX(Input!$C$46:$AM$58,MATCH($A31,Input!$A$46:$A$58,0),MATCH(J$13,Input!$C$45:$AM$45,0))</f>
        <v>0</v>
      </c>
      <c r="K31" s="31">
        <f>IF(VLOOKUP($A31,Input!$A$46:$B$58,2,FALSE)="Percentage",L$22,IF(VLOOKUP($A31,Input!$A$46:$B$58,2,FALSE)="Fixed","Fixed",(K$22)))</f>
        <v>11</v>
      </c>
      <c r="L31" s="25">
        <f t="shared" si="14"/>
        <v>0</v>
      </c>
      <c r="N31" s="173">
        <f>INDEX(Input!$C$46:$AM$58,MATCH($A31,Input!$A$46:$A$58,0),MATCH(N$13,Input!$C$45:$AM$45,0))</f>
        <v>0</v>
      </c>
      <c r="O31" s="31">
        <f>IF(VLOOKUP($A31,Input!$A$46:$B$58,2,FALSE)="Percentage",P$22,IF(VLOOKUP($A31,Input!$A$46:$B$58,2,FALSE)="Fixed","Fixed",(O$22)))</f>
        <v>11</v>
      </c>
      <c r="P31" s="25">
        <f t="shared" si="15"/>
        <v>0</v>
      </c>
      <c r="R31" s="173">
        <f>INDEX(Input!$C$46:$AM$58,MATCH($A31,Input!$A$46:$A$58,0),MATCH(R$13,Input!$C$45:$AM$45,0))</f>
        <v>0</v>
      </c>
      <c r="S31" s="31">
        <f>IF(VLOOKUP($A31,Input!$A$46:$B$58,2,FALSE)="Percentage",T$22,IF(VLOOKUP($A31,Input!$A$46:$B$58,2,FALSE)="Fixed","Fixed",(S$22)))</f>
        <v>11</v>
      </c>
      <c r="T31" s="25">
        <f t="shared" si="16"/>
        <v>0</v>
      </c>
      <c r="V31" s="173">
        <f>INDEX(Input!$C$46:$AM$58,MATCH($A31,Input!$A$46:$A$58,0),MATCH(V$13,Input!$C$45:$AM$45,0))</f>
        <v>0</v>
      </c>
      <c r="W31" s="31">
        <f>IF(VLOOKUP($A31,Input!$A$46:$B$58,2,FALSE)="Percentage",X$22,IF(VLOOKUP($A31,Input!$A$46:$B$58,2,FALSE)="Fixed","Fixed",(W$22)))</f>
        <v>11</v>
      </c>
      <c r="X31" s="25">
        <f t="shared" si="17"/>
        <v>0</v>
      </c>
      <c r="Z31" s="173">
        <f>INDEX(Input!$C$46:$AM$58,MATCH($A31,Input!$A$46:$A$58,0),MATCH(Z$13,Input!$C$45:$AM$45,0))</f>
        <v>0</v>
      </c>
      <c r="AA31" s="31">
        <f>IF(VLOOKUP($A31,Input!$A$46:$B$58,2,FALSE)="Percentage",AB$22,IF(VLOOKUP($A31,Input!$A$46:$B$58,2,FALSE)="Fixed","Fixed",(AA$22)))</f>
        <v>11</v>
      </c>
      <c r="AB31" s="25">
        <f t="shared" si="18"/>
        <v>0</v>
      </c>
      <c r="AD31" s="173">
        <f>INDEX(Input!$C$46:$AM$58,MATCH($A31,Input!$A$46:$A$58,0),MATCH(AD$13,Input!$C$45:$AM$45,0))</f>
        <v>0</v>
      </c>
      <c r="AE31" s="31">
        <f>IF(VLOOKUP($A31,Input!$A$46:$B$58,2,FALSE)="Percentage",AF$22,IF(VLOOKUP($A31,Input!$A$46:$B$58,2,FALSE)="Fixed","Fixed",(AE$22)))</f>
        <v>11</v>
      </c>
      <c r="AF31" s="25">
        <f t="shared" si="19"/>
        <v>0</v>
      </c>
      <c r="AH31" s="173">
        <f>INDEX(Input!$C$46:$AM$58,MATCH($A31,Input!$A$46:$A$58,0),MATCH(AH$13,Input!$C$45:$AM$45,0))</f>
        <v>0</v>
      </c>
      <c r="AI31" s="31">
        <f>IF(VLOOKUP($A31,Input!$A$46:$B$58,2,FALSE)="Percentage",AJ$22,IF(VLOOKUP($A31,Input!$A$46:$B$58,2,FALSE)="Fixed","Fixed",(AI$22)))</f>
        <v>11</v>
      </c>
      <c r="AJ31" s="25">
        <f t="shared" si="20"/>
        <v>0</v>
      </c>
      <c r="AL31" s="173">
        <f>INDEX(Input!$C$46:$AM$58,MATCH($A31,Input!$A$46:$A$58,0),MATCH(AL$13,Input!$C$45:$AM$45,0))</f>
        <v>0</v>
      </c>
      <c r="AM31" s="31">
        <f>IF(VLOOKUP($A31,Input!$A$46:$B$58,2,FALSE)="Percentage",AN$22,IF(VLOOKUP($A31,Input!$A$46:$B$58,2,FALSE)="Fixed","Fixed",(AM$22)))</f>
        <v>11</v>
      </c>
      <c r="AN31" s="25">
        <f t="shared" si="21"/>
        <v>0</v>
      </c>
      <c r="AP31" s="173">
        <f>INDEX(Input!$C$46:$AM$58,MATCH($A31,Input!$A$46:$A$58,0),MATCH(AP$13,Input!$C$45:$AM$45,0))</f>
        <v>0</v>
      </c>
      <c r="AQ31" s="31">
        <f>IF(VLOOKUP($A31,Input!$A$46:$B$58,2,FALSE)="Percentage",AR$22,IF(VLOOKUP($A31,Input!$A$46:$B$58,2,FALSE)="Fixed","Fixed",(AQ$22)))</f>
        <v>11</v>
      </c>
      <c r="AR31" s="25">
        <f t="shared" si="22"/>
        <v>0</v>
      </c>
      <c r="AT31" s="173">
        <f>INDEX(Input!$C$46:$AM$58,MATCH($A31,Input!$A$46:$A$58,0),MATCH(AT$13,Input!$C$45:$AM$45,0))</f>
        <v>0</v>
      </c>
      <c r="AU31" s="31">
        <f>IF(VLOOKUP($A31,Input!$A$46:$B$58,2,FALSE)="Percentage",AV$22,IF(VLOOKUP($A31,Input!$A$46:$B$58,2,FALSE)="Fixed","Fixed",(AU$22)))</f>
        <v>11</v>
      </c>
      <c r="AV31" s="25">
        <f t="shared" si="23"/>
        <v>0</v>
      </c>
    </row>
    <row r="32" spans="1:48" x14ac:dyDescent="0.55000000000000004">
      <c r="A32">
        <f>Input!A53</f>
        <v>0</v>
      </c>
      <c r="B32" s="173">
        <f>INDEX(Input!$C$46:$AM$58,MATCH($A32,Input!$A$46:$A$58,0),MATCH(B$13,Input!$C$45:$AM$45,0))</f>
        <v>0</v>
      </c>
      <c r="C32" s="31">
        <f>IF(VLOOKUP($A32,Input!$A$46:$B$58,2,FALSE)="Percentage",D$22,IF(VLOOKUP($A32,Input!$A$46:$B$58,2,FALSE)="Fixed","Fixed",(C$22)))</f>
        <v>11</v>
      </c>
      <c r="D32" s="25">
        <f t="shared" si="12"/>
        <v>0</v>
      </c>
      <c r="F32" s="173">
        <f>INDEX(Input!$C$46:$AM$58,MATCH($A32,Input!$A$46:$A$58,0),MATCH(F$13,Input!$C$45:$AM$45,0))</f>
        <v>0</v>
      </c>
      <c r="G32" s="31">
        <f>IF(VLOOKUP($A32,Input!$A$46:$B$58,2,FALSE)="Percentage",H$22,IF(VLOOKUP($A32,Input!$A$46:$B$58,2,FALSE)="Fixed","Fixed",(G$22)))</f>
        <v>11</v>
      </c>
      <c r="H32" s="25">
        <f t="shared" si="13"/>
        <v>0</v>
      </c>
      <c r="J32" s="173">
        <f>INDEX(Input!$C$46:$AM$58,MATCH($A32,Input!$A$46:$A$58,0),MATCH(J$13,Input!$C$45:$AM$45,0))</f>
        <v>0</v>
      </c>
      <c r="K32" s="31">
        <f>IF(VLOOKUP($A32,Input!$A$46:$B$58,2,FALSE)="Percentage",L$22,IF(VLOOKUP($A32,Input!$A$46:$B$58,2,FALSE)="Fixed","Fixed",(K$22)))</f>
        <v>11</v>
      </c>
      <c r="L32" s="25">
        <f t="shared" si="14"/>
        <v>0</v>
      </c>
      <c r="N32" s="173">
        <f>INDEX(Input!$C$46:$AM$58,MATCH($A32,Input!$A$46:$A$58,0),MATCH(N$13,Input!$C$45:$AM$45,0))</f>
        <v>0</v>
      </c>
      <c r="O32" s="31">
        <f>IF(VLOOKUP($A32,Input!$A$46:$B$58,2,FALSE)="Percentage",P$22,IF(VLOOKUP($A32,Input!$A$46:$B$58,2,FALSE)="Fixed","Fixed",(O$22)))</f>
        <v>11</v>
      </c>
      <c r="P32" s="25">
        <f t="shared" si="15"/>
        <v>0</v>
      </c>
      <c r="R32" s="173">
        <f>INDEX(Input!$C$46:$AM$58,MATCH($A32,Input!$A$46:$A$58,0),MATCH(R$13,Input!$C$45:$AM$45,0))</f>
        <v>0</v>
      </c>
      <c r="S32" s="31">
        <f>IF(VLOOKUP($A32,Input!$A$46:$B$58,2,FALSE)="Percentage",T$22,IF(VLOOKUP($A32,Input!$A$46:$B$58,2,FALSE)="Fixed","Fixed",(S$22)))</f>
        <v>11</v>
      </c>
      <c r="T32" s="25">
        <f t="shared" si="16"/>
        <v>0</v>
      </c>
      <c r="V32" s="173">
        <f>INDEX(Input!$C$46:$AM$58,MATCH($A32,Input!$A$46:$A$58,0),MATCH(V$13,Input!$C$45:$AM$45,0))</f>
        <v>0</v>
      </c>
      <c r="W32" s="31">
        <f>IF(VLOOKUP($A32,Input!$A$46:$B$58,2,FALSE)="Percentage",X$22,IF(VLOOKUP($A32,Input!$A$46:$B$58,2,FALSE)="Fixed","Fixed",(W$22)))</f>
        <v>11</v>
      </c>
      <c r="X32" s="25">
        <f t="shared" si="17"/>
        <v>0</v>
      </c>
      <c r="Z32" s="173">
        <f>INDEX(Input!$C$46:$AM$58,MATCH($A32,Input!$A$46:$A$58,0),MATCH(Z$13,Input!$C$45:$AM$45,0))</f>
        <v>0</v>
      </c>
      <c r="AA32" s="31">
        <f>IF(VLOOKUP($A32,Input!$A$46:$B$58,2,FALSE)="Percentage",AB$22,IF(VLOOKUP($A32,Input!$A$46:$B$58,2,FALSE)="Fixed","Fixed",(AA$22)))</f>
        <v>11</v>
      </c>
      <c r="AB32" s="25">
        <f t="shared" si="18"/>
        <v>0</v>
      </c>
      <c r="AD32" s="173">
        <f>INDEX(Input!$C$46:$AM$58,MATCH($A32,Input!$A$46:$A$58,0),MATCH(AD$13,Input!$C$45:$AM$45,0))</f>
        <v>0</v>
      </c>
      <c r="AE32" s="31">
        <f>IF(VLOOKUP($A32,Input!$A$46:$B$58,2,FALSE)="Percentage",AF$22,IF(VLOOKUP($A32,Input!$A$46:$B$58,2,FALSE)="Fixed","Fixed",(AE$22)))</f>
        <v>11</v>
      </c>
      <c r="AF32" s="25">
        <f t="shared" si="19"/>
        <v>0</v>
      </c>
      <c r="AH32" s="173">
        <f>INDEX(Input!$C$46:$AM$58,MATCH($A32,Input!$A$46:$A$58,0),MATCH(AH$13,Input!$C$45:$AM$45,0))</f>
        <v>0</v>
      </c>
      <c r="AI32" s="31">
        <f>IF(VLOOKUP($A32,Input!$A$46:$B$58,2,FALSE)="Percentage",AJ$22,IF(VLOOKUP($A32,Input!$A$46:$B$58,2,FALSE)="Fixed","Fixed",(AI$22)))</f>
        <v>11</v>
      </c>
      <c r="AJ32" s="25">
        <f t="shared" si="20"/>
        <v>0</v>
      </c>
      <c r="AL32" s="173">
        <f>INDEX(Input!$C$46:$AM$58,MATCH($A32,Input!$A$46:$A$58,0),MATCH(AL$13,Input!$C$45:$AM$45,0))</f>
        <v>0</v>
      </c>
      <c r="AM32" s="31">
        <f>IF(VLOOKUP($A32,Input!$A$46:$B$58,2,FALSE)="Percentage",AN$22,IF(VLOOKUP($A32,Input!$A$46:$B$58,2,FALSE)="Fixed","Fixed",(AM$22)))</f>
        <v>11</v>
      </c>
      <c r="AN32" s="25">
        <f t="shared" si="21"/>
        <v>0</v>
      </c>
      <c r="AP32" s="173">
        <f>INDEX(Input!$C$46:$AM$58,MATCH($A32,Input!$A$46:$A$58,0),MATCH(AP$13,Input!$C$45:$AM$45,0))</f>
        <v>0</v>
      </c>
      <c r="AQ32" s="31">
        <f>IF(VLOOKUP($A32,Input!$A$46:$B$58,2,FALSE)="Percentage",AR$22,IF(VLOOKUP($A32,Input!$A$46:$B$58,2,FALSE)="Fixed","Fixed",(AQ$22)))</f>
        <v>11</v>
      </c>
      <c r="AR32" s="25">
        <f t="shared" si="22"/>
        <v>0</v>
      </c>
      <c r="AT32" s="173">
        <f>INDEX(Input!$C$46:$AM$58,MATCH($A32,Input!$A$46:$A$58,0),MATCH(AT$13,Input!$C$45:$AM$45,0))</f>
        <v>0</v>
      </c>
      <c r="AU32" s="31">
        <f>IF(VLOOKUP($A32,Input!$A$46:$B$58,2,FALSE)="Percentage",AV$22,IF(VLOOKUP($A32,Input!$A$46:$B$58,2,FALSE)="Fixed","Fixed",(AU$22)))</f>
        <v>11</v>
      </c>
      <c r="AV32" s="25">
        <f t="shared" si="23"/>
        <v>0</v>
      </c>
    </row>
    <row r="33" spans="1:48" x14ac:dyDescent="0.55000000000000004">
      <c r="A33">
        <f>Input!A54</f>
        <v>0</v>
      </c>
      <c r="B33" s="173">
        <f>INDEX(Input!$C$46:$AM$58,MATCH($A33,Input!$A$46:$A$58,0),MATCH(B$13,Input!$C$45:$AM$45,0))</f>
        <v>0</v>
      </c>
      <c r="C33" s="31">
        <f>IF(VLOOKUP($A33,Input!$A$46:$B$58,2,FALSE)="Percentage",D$22,IF(VLOOKUP($A33,Input!$A$46:$B$58,2,FALSE)="Fixed","Fixed",(C$22)))</f>
        <v>11</v>
      </c>
      <c r="D33" s="25">
        <f t="shared" si="12"/>
        <v>0</v>
      </c>
      <c r="F33" s="173">
        <f>INDEX(Input!$C$46:$AM$58,MATCH($A33,Input!$A$46:$A$58,0),MATCH(F$13,Input!$C$45:$AM$45,0))</f>
        <v>0</v>
      </c>
      <c r="G33" s="31">
        <f>IF(VLOOKUP($A33,Input!$A$46:$B$58,2,FALSE)="Percentage",H$22,IF(VLOOKUP($A33,Input!$A$46:$B$58,2,FALSE)="Fixed","Fixed",(G$22)))</f>
        <v>11</v>
      </c>
      <c r="H33" s="25">
        <f t="shared" si="13"/>
        <v>0</v>
      </c>
      <c r="J33" s="173">
        <f>INDEX(Input!$C$46:$AM$58,MATCH($A33,Input!$A$46:$A$58,0),MATCH(J$13,Input!$C$45:$AM$45,0))</f>
        <v>0</v>
      </c>
      <c r="K33" s="31">
        <f>IF(VLOOKUP($A33,Input!$A$46:$B$58,2,FALSE)="Percentage",L$22,IF(VLOOKUP($A33,Input!$A$46:$B$58,2,FALSE)="Fixed","Fixed",(K$22)))</f>
        <v>11</v>
      </c>
      <c r="L33" s="25">
        <f t="shared" si="14"/>
        <v>0</v>
      </c>
      <c r="N33" s="173">
        <f>INDEX(Input!$C$46:$AM$58,MATCH($A33,Input!$A$46:$A$58,0),MATCH(N$13,Input!$C$45:$AM$45,0))</f>
        <v>0</v>
      </c>
      <c r="O33" s="31">
        <f>IF(VLOOKUP($A33,Input!$A$46:$B$58,2,FALSE)="Percentage",P$22,IF(VLOOKUP($A33,Input!$A$46:$B$58,2,FALSE)="Fixed","Fixed",(O$22)))</f>
        <v>11</v>
      </c>
      <c r="P33" s="25">
        <f t="shared" si="15"/>
        <v>0</v>
      </c>
      <c r="R33" s="173">
        <f>INDEX(Input!$C$46:$AM$58,MATCH($A33,Input!$A$46:$A$58,0),MATCH(R$13,Input!$C$45:$AM$45,0))</f>
        <v>0</v>
      </c>
      <c r="S33" s="31">
        <f>IF(VLOOKUP($A33,Input!$A$46:$B$58,2,FALSE)="Percentage",T$22,IF(VLOOKUP($A33,Input!$A$46:$B$58,2,FALSE)="Fixed","Fixed",(S$22)))</f>
        <v>11</v>
      </c>
      <c r="T33" s="25">
        <f t="shared" si="16"/>
        <v>0</v>
      </c>
      <c r="V33" s="173">
        <f>INDEX(Input!$C$46:$AM$58,MATCH($A33,Input!$A$46:$A$58,0),MATCH(V$13,Input!$C$45:$AM$45,0))</f>
        <v>0</v>
      </c>
      <c r="W33" s="31">
        <f>IF(VLOOKUP($A33,Input!$A$46:$B$58,2,FALSE)="Percentage",X$22,IF(VLOOKUP($A33,Input!$A$46:$B$58,2,FALSE)="Fixed","Fixed",(W$22)))</f>
        <v>11</v>
      </c>
      <c r="X33" s="25">
        <f t="shared" si="17"/>
        <v>0</v>
      </c>
      <c r="Z33" s="173">
        <f>INDEX(Input!$C$46:$AM$58,MATCH($A33,Input!$A$46:$A$58,0),MATCH(Z$13,Input!$C$45:$AM$45,0))</f>
        <v>0</v>
      </c>
      <c r="AA33" s="31">
        <f>IF(VLOOKUP($A33,Input!$A$46:$B$58,2,FALSE)="Percentage",AB$22,IF(VLOOKUP($A33,Input!$A$46:$B$58,2,FALSE)="Fixed","Fixed",(AA$22)))</f>
        <v>11</v>
      </c>
      <c r="AB33" s="25">
        <f t="shared" si="18"/>
        <v>0</v>
      </c>
      <c r="AD33" s="173">
        <f>INDEX(Input!$C$46:$AM$58,MATCH($A33,Input!$A$46:$A$58,0),MATCH(AD$13,Input!$C$45:$AM$45,0))</f>
        <v>0</v>
      </c>
      <c r="AE33" s="31">
        <f>IF(VLOOKUP($A33,Input!$A$46:$B$58,2,FALSE)="Percentage",AF$22,IF(VLOOKUP($A33,Input!$A$46:$B$58,2,FALSE)="Fixed","Fixed",(AE$22)))</f>
        <v>11</v>
      </c>
      <c r="AF33" s="25">
        <f t="shared" si="19"/>
        <v>0</v>
      </c>
      <c r="AH33" s="173">
        <f>INDEX(Input!$C$46:$AM$58,MATCH($A33,Input!$A$46:$A$58,0),MATCH(AH$13,Input!$C$45:$AM$45,0))</f>
        <v>0</v>
      </c>
      <c r="AI33" s="31">
        <f>IF(VLOOKUP($A33,Input!$A$46:$B$58,2,FALSE)="Percentage",AJ$22,IF(VLOOKUP($A33,Input!$A$46:$B$58,2,FALSE)="Fixed","Fixed",(AI$22)))</f>
        <v>11</v>
      </c>
      <c r="AJ33" s="25">
        <f t="shared" si="20"/>
        <v>0</v>
      </c>
      <c r="AL33" s="173">
        <f>INDEX(Input!$C$46:$AM$58,MATCH($A33,Input!$A$46:$A$58,0),MATCH(AL$13,Input!$C$45:$AM$45,0))</f>
        <v>0</v>
      </c>
      <c r="AM33" s="31">
        <f>IF(VLOOKUP($A33,Input!$A$46:$B$58,2,FALSE)="Percentage",AN$22,IF(VLOOKUP($A33,Input!$A$46:$B$58,2,FALSE)="Fixed","Fixed",(AM$22)))</f>
        <v>11</v>
      </c>
      <c r="AN33" s="25">
        <f t="shared" si="21"/>
        <v>0</v>
      </c>
      <c r="AP33" s="173">
        <f>INDEX(Input!$C$46:$AM$58,MATCH($A33,Input!$A$46:$A$58,0),MATCH(AP$13,Input!$C$45:$AM$45,0))</f>
        <v>0</v>
      </c>
      <c r="AQ33" s="31">
        <f>IF(VLOOKUP($A33,Input!$A$46:$B$58,2,FALSE)="Percentage",AR$22,IF(VLOOKUP($A33,Input!$A$46:$B$58,2,FALSE)="Fixed","Fixed",(AQ$22)))</f>
        <v>11</v>
      </c>
      <c r="AR33" s="25">
        <f t="shared" si="22"/>
        <v>0</v>
      </c>
      <c r="AT33" s="173">
        <f>INDEX(Input!$C$46:$AM$58,MATCH($A33,Input!$A$46:$A$58,0),MATCH(AT$13,Input!$C$45:$AM$45,0))</f>
        <v>0</v>
      </c>
      <c r="AU33" s="31">
        <f>IF(VLOOKUP($A33,Input!$A$46:$B$58,2,FALSE)="Percentage",AV$22,IF(VLOOKUP($A33,Input!$A$46:$B$58,2,FALSE)="Fixed","Fixed",(AU$22)))</f>
        <v>11</v>
      </c>
      <c r="AV33" s="25">
        <f t="shared" si="23"/>
        <v>0</v>
      </c>
    </row>
    <row r="34" spans="1:48" x14ac:dyDescent="0.55000000000000004">
      <c r="A34">
        <f>Input!A55</f>
        <v>0</v>
      </c>
      <c r="B34" s="173">
        <f>INDEX(Input!$C$46:$AM$58,MATCH($A34,Input!$A$46:$A$58,0),MATCH(B$13,Input!$C$45:$AM$45,0))</f>
        <v>0</v>
      </c>
      <c r="C34" s="31">
        <f>IF(VLOOKUP($A34,Input!$A$46:$B$58,2,FALSE)="Percentage",D$22,IF(VLOOKUP($A34,Input!$A$46:$B$58,2,FALSE)="Fixed","Fixed",(C$22)))</f>
        <v>11</v>
      </c>
      <c r="D34" s="25">
        <f t="shared" si="12"/>
        <v>0</v>
      </c>
      <c r="F34" s="173">
        <f>INDEX(Input!$C$46:$AM$58,MATCH($A34,Input!$A$46:$A$58,0),MATCH(F$13,Input!$C$45:$AM$45,0))</f>
        <v>0</v>
      </c>
      <c r="G34" s="31">
        <f>IF(VLOOKUP($A34,Input!$A$46:$B$58,2,FALSE)="Percentage",H$22,IF(VLOOKUP($A34,Input!$A$46:$B$58,2,FALSE)="Fixed","Fixed",(G$22)))</f>
        <v>11</v>
      </c>
      <c r="H34" s="25">
        <f t="shared" si="13"/>
        <v>0</v>
      </c>
      <c r="J34" s="173">
        <f>INDEX(Input!$C$46:$AM$58,MATCH($A34,Input!$A$46:$A$58,0),MATCH(J$13,Input!$C$45:$AM$45,0))</f>
        <v>0</v>
      </c>
      <c r="K34" s="31">
        <f>IF(VLOOKUP($A34,Input!$A$46:$B$58,2,FALSE)="Percentage",L$22,IF(VLOOKUP($A34,Input!$A$46:$B$58,2,FALSE)="Fixed","Fixed",(K$22)))</f>
        <v>11</v>
      </c>
      <c r="L34" s="25">
        <f t="shared" si="14"/>
        <v>0</v>
      </c>
      <c r="N34" s="173">
        <f>INDEX(Input!$C$46:$AM$58,MATCH($A34,Input!$A$46:$A$58,0),MATCH(N$13,Input!$C$45:$AM$45,0))</f>
        <v>0</v>
      </c>
      <c r="O34" s="31">
        <f>IF(VLOOKUP($A34,Input!$A$46:$B$58,2,FALSE)="Percentage",P$22,IF(VLOOKUP($A34,Input!$A$46:$B$58,2,FALSE)="Fixed","Fixed",(O$22)))</f>
        <v>11</v>
      </c>
      <c r="P34" s="25">
        <f t="shared" si="15"/>
        <v>0</v>
      </c>
      <c r="R34" s="173">
        <f>INDEX(Input!$C$46:$AM$58,MATCH($A34,Input!$A$46:$A$58,0),MATCH(R$13,Input!$C$45:$AM$45,0))</f>
        <v>0</v>
      </c>
      <c r="S34" s="31">
        <f>IF(VLOOKUP($A34,Input!$A$46:$B$58,2,FALSE)="Percentage",T$22,IF(VLOOKUP($A34,Input!$A$46:$B$58,2,FALSE)="Fixed","Fixed",(S$22)))</f>
        <v>11</v>
      </c>
      <c r="T34" s="25">
        <f t="shared" si="16"/>
        <v>0</v>
      </c>
      <c r="V34" s="173">
        <f>INDEX(Input!$C$46:$AM$58,MATCH($A34,Input!$A$46:$A$58,0),MATCH(V$13,Input!$C$45:$AM$45,0))</f>
        <v>0</v>
      </c>
      <c r="W34" s="31">
        <f>IF(VLOOKUP($A34,Input!$A$46:$B$58,2,FALSE)="Percentage",X$22,IF(VLOOKUP($A34,Input!$A$46:$B$58,2,FALSE)="Fixed","Fixed",(W$22)))</f>
        <v>11</v>
      </c>
      <c r="X34" s="25">
        <f t="shared" si="17"/>
        <v>0</v>
      </c>
      <c r="Z34" s="173">
        <f>INDEX(Input!$C$46:$AM$58,MATCH($A34,Input!$A$46:$A$58,0),MATCH(Z$13,Input!$C$45:$AM$45,0))</f>
        <v>0</v>
      </c>
      <c r="AA34" s="31">
        <f>IF(VLOOKUP($A34,Input!$A$46:$B$58,2,FALSE)="Percentage",AB$22,IF(VLOOKUP($A34,Input!$A$46:$B$58,2,FALSE)="Fixed","Fixed",(AA$22)))</f>
        <v>11</v>
      </c>
      <c r="AB34" s="25">
        <f t="shared" si="18"/>
        <v>0</v>
      </c>
      <c r="AD34" s="173">
        <f>INDEX(Input!$C$46:$AM$58,MATCH($A34,Input!$A$46:$A$58,0),MATCH(AD$13,Input!$C$45:$AM$45,0))</f>
        <v>0</v>
      </c>
      <c r="AE34" s="31">
        <f>IF(VLOOKUP($A34,Input!$A$46:$B$58,2,FALSE)="Percentage",AF$22,IF(VLOOKUP($A34,Input!$A$46:$B$58,2,FALSE)="Fixed","Fixed",(AE$22)))</f>
        <v>11</v>
      </c>
      <c r="AF34" s="25">
        <f t="shared" si="19"/>
        <v>0</v>
      </c>
      <c r="AH34" s="173">
        <f>INDEX(Input!$C$46:$AM$58,MATCH($A34,Input!$A$46:$A$58,0),MATCH(AH$13,Input!$C$45:$AM$45,0))</f>
        <v>0</v>
      </c>
      <c r="AI34" s="31">
        <f>IF(VLOOKUP($A34,Input!$A$46:$B$58,2,FALSE)="Percentage",AJ$22,IF(VLOOKUP($A34,Input!$A$46:$B$58,2,FALSE)="Fixed","Fixed",(AI$22)))</f>
        <v>11</v>
      </c>
      <c r="AJ34" s="25">
        <f t="shared" si="20"/>
        <v>0</v>
      </c>
      <c r="AL34" s="173">
        <f>INDEX(Input!$C$46:$AM$58,MATCH($A34,Input!$A$46:$A$58,0),MATCH(AL$13,Input!$C$45:$AM$45,0))</f>
        <v>0</v>
      </c>
      <c r="AM34" s="31">
        <f>IF(VLOOKUP($A34,Input!$A$46:$B$58,2,FALSE)="Percentage",AN$22,IF(VLOOKUP($A34,Input!$A$46:$B$58,2,FALSE)="Fixed","Fixed",(AM$22)))</f>
        <v>11</v>
      </c>
      <c r="AN34" s="25">
        <f t="shared" si="21"/>
        <v>0</v>
      </c>
      <c r="AP34" s="173">
        <f>INDEX(Input!$C$46:$AM$58,MATCH($A34,Input!$A$46:$A$58,0),MATCH(AP$13,Input!$C$45:$AM$45,0))</f>
        <v>0</v>
      </c>
      <c r="AQ34" s="31">
        <f>IF(VLOOKUP($A34,Input!$A$46:$B$58,2,FALSE)="Percentage",AR$22,IF(VLOOKUP($A34,Input!$A$46:$B$58,2,FALSE)="Fixed","Fixed",(AQ$22)))</f>
        <v>11</v>
      </c>
      <c r="AR34" s="25">
        <f t="shared" si="22"/>
        <v>0</v>
      </c>
      <c r="AT34" s="173">
        <f>INDEX(Input!$C$46:$AM$58,MATCH($A34,Input!$A$46:$A$58,0),MATCH(AT$13,Input!$C$45:$AM$45,0))</f>
        <v>0</v>
      </c>
      <c r="AU34" s="31">
        <f>IF(VLOOKUP($A34,Input!$A$46:$B$58,2,FALSE)="Percentage",AV$22,IF(VLOOKUP($A34,Input!$A$46:$B$58,2,FALSE)="Fixed","Fixed",(AU$22)))</f>
        <v>11</v>
      </c>
      <c r="AV34" s="25">
        <f t="shared" si="23"/>
        <v>0</v>
      </c>
    </row>
    <row r="35" spans="1:48" x14ac:dyDescent="0.55000000000000004">
      <c r="A35">
        <f>Input!A56</f>
        <v>0</v>
      </c>
      <c r="B35" s="173">
        <f>INDEX(Input!$C$46:$AM$58,MATCH($A35,Input!$A$46:$A$58,0),MATCH(B$13,Input!$C$45:$AM$45,0))</f>
        <v>0</v>
      </c>
      <c r="C35" s="31">
        <f>IF(VLOOKUP($A35,Input!$A$46:$B$58,2,FALSE)="Percentage",D$22,IF(VLOOKUP($A35,Input!$A$46:$B$58,2,FALSE)="Fixed","Fixed",(C$22)))</f>
        <v>11</v>
      </c>
      <c r="D35" s="25">
        <f t="shared" si="12"/>
        <v>0</v>
      </c>
      <c r="F35" s="173">
        <f>INDEX(Input!$C$46:$AM$58,MATCH($A35,Input!$A$46:$A$58,0),MATCH(F$13,Input!$C$45:$AM$45,0))</f>
        <v>0</v>
      </c>
      <c r="G35" s="31">
        <f>IF(VLOOKUP($A35,Input!$A$46:$B$58,2,FALSE)="Percentage",H$22,IF(VLOOKUP($A35,Input!$A$46:$B$58,2,FALSE)="Fixed","Fixed",(G$22)))</f>
        <v>11</v>
      </c>
      <c r="H35" s="25">
        <f t="shared" si="13"/>
        <v>0</v>
      </c>
      <c r="J35" s="173">
        <f>INDEX(Input!$C$46:$AM$58,MATCH($A35,Input!$A$46:$A$58,0),MATCH(J$13,Input!$C$45:$AM$45,0))</f>
        <v>0</v>
      </c>
      <c r="K35" s="31">
        <f>IF(VLOOKUP($A35,Input!$A$46:$B$58,2,FALSE)="Percentage",L$22,IF(VLOOKUP($A35,Input!$A$46:$B$58,2,FALSE)="Fixed","Fixed",(K$22)))</f>
        <v>11</v>
      </c>
      <c r="L35" s="25">
        <f t="shared" si="14"/>
        <v>0</v>
      </c>
      <c r="N35" s="173">
        <f>INDEX(Input!$C$46:$AM$58,MATCH($A35,Input!$A$46:$A$58,0),MATCH(N$13,Input!$C$45:$AM$45,0))</f>
        <v>0</v>
      </c>
      <c r="O35" s="31">
        <f>IF(VLOOKUP($A35,Input!$A$46:$B$58,2,FALSE)="Percentage",P$22,IF(VLOOKUP($A35,Input!$A$46:$B$58,2,FALSE)="Fixed","Fixed",(O$22)))</f>
        <v>11</v>
      </c>
      <c r="P35" s="25">
        <f t="shared" si="15"/>
        <v>0</v>
      </c>
      <c r="R35" s="173">
        <f>INDEX(Input!$C$46:$AM$58,MATCH($A35,Input!$A$46:$A$58,0),MATCH(R$13,Input!$C$45:$AM$45,0))</f>
        <v>0</v>
      </c>
      <c r="S35" s="31">
        <f>IF(VLOOKUP($A35,Input!$A$46:$B$58,2,FALSE)="Percentage",T$22,IF(VLOOKUP($A35,Input!$A$46:$B$58,2,FALSE)="Fixed","Fixed",(S$22)))</f>
        <v>11</v>
      </c>
      <c r="T35" s="25">
        <f t="shared" si="16"/>
        <v>0</v>
      </c>
      <c r="V35" s="173">
        <f>INDEX(Input!$C$46:$AM$58,MATCH($A35,Input!$A$46:$A$58,0),MATCH(V$13,Input!$C$45:$AM$45,0))</f>
        <v>0</v>
      </c>
      <c r="W35" s="31">
        <f>IF(VLOOKUP($A35,Input!$A$46:$B$58,2,FALSE)="Percentage",X$22,IF(VLOOKUP($A35,Input!$A$46:$B$58,2,FALSE)="Fixed","Fixed",(W$22)))</f>
        <v>11</v>
      </c>
      <c r="X35" s="25">
        <f t="shared" si="17"/>
        <v>0</v>
      </c>
      <c r="Z35" s="173">
        <f>INDEX(Input!$C$46:$AM$58,MATCH($A35,Input!$A$46:$A$58,0),MATCH(Z$13,Input!$C$45:$AM$45,0))</f>
        <v>0</v>
      </c>
      <c r="AA35" s="31">
        <f>IF(VLOOKUP($A35,Input!$A$46:$B$58,2,FALSE)="Percentage",AB$22,IF(VLOOKUP($A35,Input!$A$46:$B$58,2,FALSE)="Fixed","Fixed",(AA$22)))</f>
        <v>11</v>
      </c>
      <c r="AB35" s="25">
        <f t="shared" si="18"/>
        <v>0</v>
      </c>
      <c r="AD35" s="173">
        <f>INDEX(Input!$C$46:$AM$58,MATCH($A35,Input!$A$46:$A$58,0),MATCH(AD$13,Input!$C$45:$AM$45,0))</f>
        <v>0</v>
      </c>
      <c r="AE35" s="31">
        <f>IF(VLOOKUP($A35,Input!$A$46:$B$58,2,FALSE)="Percentage",AF$22,IF(VLOOKUP($A35,Input!$A$46:$B$58,2,FALSE)="Fixed","Fixed",(AE$22)))</f>
        <v>11</v>
      </c>
      <c r="AF35" s="25">
        <f t="shared" si="19"/>
        <v>0</v>
      </c>
      <c r="AH35" s="173">
        <f>INDEX(Input!$C$46:$AM$58,MATCH($A35,Input!$A$46:$A$58,0),MATCH(AH$13,Input!$C$45:$AM$45,0))</f>
        <v>0</v>
      </c>
      <c r="AI35" s="31">
        <f>IF(VLOOKUP($A35,Input!$A$46:$B$58,2,FALSE)="Percentage",AJ$22,IF(VLOOKUP($A35,Input!$A$46:$B$58,2,FALSE)="Fixed","Fixed",(AI$22)))</f>
        <v>11</v>
      </c>
      <c r="AJ35" s="25">
        <f t="shared" si="20"/>
        <v>0</v>
      </c>
      <c r="AL35" s="173">
        <f>INDEX(Input!$C$46:$AM$58,MATCH($A35,Input!$A$46:$A$58,0),MATCH(AL$13,Input!$C$45:$AM$45,0))</f>
        <v>0</v>
      </c>
      <c r="AM35" s="31">
        <f>IF(VLOOKUP($A35,Input!$A$46:$B$58,2,FALSE)="Percentage",AN$22,IF(VLOOKUP($A35,Input!$A$46:$B$58,2,FALSE)="Fixed","Fixed",(AM$22)))</f>
        <v>11</v>
      </c>
      <c r="AN35" s="25">
        <f t="shared" si="21"/>
        <v>0</v>
      </c>
      <c r="AP35" s="173">
        <f>INDEX(Input!$C$46:$AM$58,MATCH($A35,Input!$A$46:$A$58,0),MATCH(AP$13,Input!$C$45:$AM$45,0))</f>
        <v>0</v>
      </c>
      <c r="AQ35" s="31">
        <f>IF(VLOOKUP($A35,Input!$A$46:$B$58,2,FALSE)="Percentage",AR$22,IF(VLOOKUP($A35,Input!$A$46:$B$58,2,FALSE)="Fixed","Fixed",(AQ$22)))</f>
        <v>11</v>
      </c>
      <c r="AR35" s="25">
        <f t="shared" si="22"/>
        <v>0</v>
      </c>
      <c r="AT35" s="173">
        <f>INDEX(Input!$C$46:$AM$58,MATCH($A35,Input!$A$46:$A$58,0),MATCH(AT$13,Input!$C$45:$AM$45,0))</f>
        <v>0</v>
      </c>
      <c r="AU35" s="31">
        <f>IF(VLOOKUP($A35,Input!$A$46:$B$58,2,FALSE)="Percentage",AV$22,IF(VLOOKUP($A35,Input!$A$46:$B$58,2,FALSE)="Fixed","Fixed",(AU$22)))</f>
        <v>11</v>
      </c>
      <c r="AV35" s="25">
        <f t="shared" si="23"/>
        <v>0</v>
      </c>
    </row>
    <row r="36" spans="1:48" x14ac:dyDescent="0.55000000000000004">
      <c r="A36">
        <f>Input!A57</f>
        <v>0</v>
      </c>
      <c r="B36" s="173">
        <f>INDEX(Input!$C$46:$AM$58,MATCH($A36,Input!$A$46:$A$58,0),MATCH(B$13,Input!$C$45:$AM$45,0))</f>
        <v>0</v>
      </c>
      <c r="C36" s="31">
        <f>IF(VLOOKUP($A36,Input!$A$46:$B$58,2,FALSE)="Percentage",D$22,IF(VLOOKUP($A36,Input!$A$46:$B$58,2,FALSE)="Fixed","Fixed",(C$22)))</f>
        <v>11</v>
      </c>
      <c r="D36" s="25">
        <f t="shared" si="12"/>
        <v>0</v>
      </c>
      <c r="F36" s="173">
        <f>INDEX(Input!$C$46:$AM$58,MATCH($A36,Input!$A$46:$A$58,0),MATCH(F$13,Input!$C$45:$AM$45,0))</f>
        <v>0</v>
      </c>
      <c r="G36" s="31">
        <f>IF(VLOOKUP($A36,Input!$A$46:$B$58,2,FALSE)="Percentage",H$22,IF(VLOOKUP($A36,Input!$A$46:$B$58,2,FALSE)="Fixed","Fixed",(G$22)))</f>
        <v>11</v>
      </c>
      <c r="H36" s="25">
        <f t="shared" si="13"/>
        <v>0</v>
      </c>
      <c r="J36" s="173">
        <f>INDEX(Input!$C$46:$AM$58,MATCH($A36,Input!$A$46:$A$58,0),MATCH(J$13,Input!$C$45:$AM$45,0))</f>
        <v>0</v>
      </c>
      <c r="K36" s="31">
        <f>IF(VLOOKUP($A36,Input!$A$46:$B$58,2,FALSE)="Percentage",L$22,IF(VLOOKUP($A36,Input!$A$46:$B$58,2,FALSE)="Fixed","Fixed",(K$22)))</f>
        <v>11</v>
      </c>
      <c r="L36" s="25">
        <f t="shared" si="14"/>
        <v>0</v>
      </c>
      <c r="N36" s="173">
        <f>INDEX(Input!$C$46:$AM$58,MATCH($A36,Input!$A$46:$A$58,0),MATCH(N$13,Input!$C$45:$AM$45,0))</f>
        <v>0</v>
      </c>
      <c r="O36" s="31">
        <f>IF(VLOOKUP($A36,Input!$A$46:$B$58,2,FALSE)="Percentage",P$22,IF(VLOOKUP($A36,Input!$A$46:$B$58,2,FALSE)="Fixed","Fixed",(O$22)))</f>
        <v>11</v>
      </c>
      <c r="P36" s="25">
        <f t="shared" si="15"/>
        <v>0</v>
      </c>
      <c r="R36" s="173">
        <f>INDEX(Input!$C$46:$AM$58,MATCH($A36,Input!$A$46:$A$58,0),MATCH(R$13,Input!$C$45:$AM$45,0))</f>
        <v>0</v>
      </c>
      <c r="S36" s="31">
        <f>IF(VLOOKUP($A36,Input!$A$46:$B$58,2,FALSE)="Percentage",T$22,IF(VLOOKUP($A36,Input!$A$46:$B$58,2,FALSE)="Fixed","Fixed",(S$22)))</f>
        <v>11</v>
      </c>
      <c r="T36" s="25">
        <f t="shared" si="16"/>
        <v>0</v>
      </c>
      <c r="V36" s="173">
        <f>INDEX(Input!$C$46:$AM$58,MATCH($A36,Input!$A$46:$A$58,0),MATCH(V$13,Input!$C$45:$AM$45,0))</f>
        <v>0</v>
      </c>
      <c r="W36" s="31">
        <f>IF(VLOOKUP($A36,Input!$A$46:$B$58,2,FALSE)="Percentage",X$22,IF(VLOOKUP($A36,Input!$A$46:$B$58,2,FALSE)="Fixed","Fixed",(W$22)))</f>
        <v>11</v>
      </c>
      <c r="X36" s="25">
        <f t="shared" si="17"/>
        <v>0</v>
      </c>
      <c r="Z36" s="173">
        <f>INDEX(Input!$C$46:$AM$58,MATCH($A36,Input!$A$46:$A$58,0),MATCH(Z$13,Input!$C$45:$AM$45,0))</f>
        <v>0</v>
      </c>
      <c r="AA36" s="31">
        <f>IF(VLOOKUP($A36,Input!$A$46:$B$58,2,FALSE)="Percentage",AB$22,IF(VLOOKUP($A36,Input!$A$46:$B$58,2,FALSE)="Fixed","Fixed",(AA$22)))</f>
        <v>11</v>
      </c>
      <c r="AB36" s="25">
        <f t="shared" si="18"/>
        <v>0</v>
      </c>
      <c r="AD36" s="173">
        <f>INDEX(Input!$C$46:$AM$58,MATCH($A36,Input!$A$46:$A$58,0),MATCH(AD$13,Input!$C$45:$AM$45,0))</f>
        <v>0</v>
      </c>
      <c r="AE36" s="31">
        <f>IF(VLOOKUP($A36,Input!$A$46:$B$58,2,FALSE)="Percentage",AF$22,IF(VLOOKUP($A36,Input!$A$46:$B$58,2,FALSE)="Fixed","Fixed",(AE$22)))</f>
        <v>11</v>
      </c>
      <c r="AF36" s="25">
        <f t="shared" si="19"/>
        <v>0</v>
      </c>
      <c r="AH36" s="173">
        <f>INDEX(Input!$C$46:$AM$58,MATCH($A36,Input!$A$46:$A$58,0),MATCH(AH$13,Input!$C$45:$AM$45,0))</f>
        <v>0</v>
      </c>
      <c r="AI36" s="31">
        <f>IF(VLOOKUP($A36,Input!$A$46:$B$58,2,FALSE)="Percentage",AJ$22,IF(VLOOKUP($A36,Input!$A$46:$B$58,2,FALSE)="Fixed","Fixed",(AI$22)))</f>
        <v>11</v>
      </c>
      <c r="AJ36" s="25">
        <f t="shared" si="20"/>
        <v>0</v>
      </c>
      <c r="AL36" s="173">
        <f>INDEX(Input!$C$46:$AM$58,MATCH($A36,Input!$A$46:$A$58,0),MATCH(AL$13,Input!$C$45:$AM$45,0))</f>
        <v>0</v>
      </c>
      <c r="AM36" s="31">
        <f>IF(VLOOKUP($A36,Input!$A$46:$B$58,2,FALSE)="Percentage",AN$22,IF(VLOOKUP($A36,Input!$A$46:$B$58,2,FALSE)="Fixed","Fixed",(AM$22)))</f>
        <v>11</v>
      </c>
      <c r="AN36" s="25">
        <f t="shared" si="21"/>
        <v>0</v>
      </c>
      <c r="AP36" s="173">
        <f>INDEX(Input!$C$46:$AM$58,MATCH($A36,Input!$A$46:$A$58,0),MATCH(AP$13,Input!$C$45:$AM$45,0))</f>
        <v>0</v>
      </c>
      <c r="AQ36" s="31">
        <f>IF(VLOOKUP($A36,Input!$A$46:$B$58,2,FALSE)="Percentage",AR$22,IF(VLOOKUP($A36,Input!$A$46:$B$58,2,FALSE)="Fixed","Fixed",(AQ$22)))</f>
        <v>11</v>
      </c>
      <c r="AR36" s="25">
        <f t="shared" si="22"/>
        <v>0</v>
      </c>
      <c r="AT36" s="173">
        <f>INDEX(Input!$C$46:$AM$58,MATCH($A36,Input!$A$46:$A$58,0),MATCH(AT$13,Input!$C$45:$AM$45,0))</f>
        <v>0</v>
      </c>
      <c r="AU36" s="31">
        <f>IF(VLOOKUP($A36,Input!$A$46:$B$58,2,FALSE)="Percentage",AV$22,IF(VLOOKUP($A36,Input!$A$46:$B$58,2,FALSE)="Fixed","Fixed",(AU$22)))</f>
        <v>11</v>
      </c>
      <c r="AV36" s="25">
        <f t="shared" si="23"/>
        <v>0</v>
      </c>
    </row>
    <row r="37" spans="1:48" x14ac:dyDescent="0.55000000000000004">
      <c r="A37">
        <f>Input!A58</f>
        <v>0</v>
      </c>
      <c r="B37" s="173">
        <f>INDEX(Input!$C$46:$AM$58,MATCH($A37,Input!$A$46:$A$58,0),MATCH(B$13,Input!$C$45:$AM$45,0))</f>
        <v>0</v>
      </c>
      <c r="C37" s="31">
        <f>IF(VLOOKUP($A37,Input!$A$46:$B$58,2,FALSE)="Percentage",D$22,IF(VLOOKUP($A37,Input!$A$46:$B$58,2,FALSE)="Fixed","Fixed",(C$22)))</f>
        <v>11</v>
      </c>
      <c r="D37" s="25">
        <f t="shared" ref="D37" si="24">ROUND(IF(C37="Fixed",B37,(B37*C37)),2)</f>
        <v>0</v>
      </c>
      <c r="F37" s="173">
        <f>INDEX(Input!$C$46:$AM$58,MATCH($A37,Input!$A$46:$A$58,0),MATCH(F$13,Input!$C$45:$AM$45,0))</f>
        <v>0</v>
      </c>
      <c r="G37" s="31">
        <f>IF(VLOOKUP($A37,Input!$A$46:$B$58,2,FALSE)="Percentage",H$22,IF(VLOOKUP($A37,Input!$A$46:$B$58,2,FALSE)="Fixed","Fixed",(G$22)))</f>
        <v>11</v>
      </c>
      <c r="H37" s="25">
        <f t="shared" ref="H37" si="25">ROUND(IF(G37="Fixed",F37,(F37*G37)),2)</f>
        <v>0</v>
      </c>
      <c r="J37" s="173">
        <f>INDEX(Input!$C$46:$AM$58,MATCH($A37,Input!$A$46:$A$58,0),MATCH(J$13,Input!$C$45:$AM$45,0))</f>
        <v>0</v>
      </c>
      <c r="K37" s="31">
        <f>IF(VLOOKUP($A37,Input!$A$46:$B$58,2,FALSE)="Percentage",L$22,IF(VLOOKUP($A37,Input!$A$46:$B$58,2,FALSE)="Fixed","Fixed",(K$22)))</f>
        <v>11</v>
      </c>
      <c r="L37" s="25">
        <f t="shared" ref="L37" si="26">ROUND(IF(K37="Fixed",J37,(J37*K37)),2)</f>
        <v>0</v>
      </c>
      <c r="N37" s="173">
        <f>INDEX(Input!$C$46:$AM$58,MATCH($A37,Input!$A$46:$A$58,0),MATCH(N$13,Input!$C$45:$AM$45,0))</f>
        <v>0</v>
      </c>
      <c r="O37" s="31">
        <f>IF(VLOOKUP($A37,Input!$A$46:$B$58,2,FALSE)="Percentage",P$22,IF(VLOOKUP($A37,Input!$A$46:$B$58,2,FALSE)="Fixed","Fixed",(O$22)))</f>
        <v>11</v>
      </c>
      <c r="P37" s="25">
        <f t="shared" ref="P37" si="27">ROUND(IF(O37="Fixed",N37,(N37*O37)),2)</f>
        <v>0</v>
      </c>
      <c r="R37" s="173">
        <f>INDEX(Input!$C$46:$AM$58,MATCH($A37,Input!$A$46:$A$58,0),MATCH(R$13,Input!$C$45:$AM$45,0))</f>
        <v>0</v>
      </c>
      <c r="S37" s="31">
        <f>IF(VLOOKUP($A37,Input!$A$46:$B$58,2,FALSE)="Percentage",T$22,IF(VLOOKUP($A37,Input!$A$46:$B$58,2,FALSE)="Fixed","Fixed",(S$22)))</f>
        <v>11</v>
      </c>
      <c r="T37" s="25">
        <f t="shared" ref="T37" si="28">ROUND(IF(S37="Fixed",R37,(R37*S37)),2)</f>
        <v>0</v>
      </c>
      <c r="V37" s="173">
        <f>INDEX(Input!$C$46:$AM$58,MATCH($A37,Input!$A$46:$A$58,0),MATCH(V$13,Input!$C$45:$AM$45,0))</f>
        <v>0</v>
      </c>
      <c r="W37" s="31">
        <f>IF(VLOOKUP($A37,Input!$A$46:$B$58,2,FALSE)="Percentage",X$22,IF(VLOOKUP($A37,Input!$A$46:$B$58,2,FALSE)="Fixed","Fixed",(W$22)))</f>
        <v>11</v>
      </c>
      <c r="X37" s="25">
        <f t="shared" ref="X37" si="29">ROUND(IF(W37="Fixed",V37,(V37*W37)),2)</f>
        <v>0</v>
      </c>
      <c r="Z37" s="173">
        <f>INDEX(Input!$C$46:$AM$58,MATCH($A37,Input!$A$46:$A$58,0),MATCH(Z$13,Input!$C$45:$AM$45,0))</f>
        <v>0</v>
      </c>
      <c r="AA37" s="31">
        <f>IF(VLOOKUP($A37,Input!$A$46:$B$58,2,FALSE)="Percentage",AB$22,IF(VLOOKUP($A37,Input!$A$46:$B$58,2,FALSE)="Fixed","Fixed",(AA$22)))</f>
        <v>11</v>
      </c>
      <c r="AB37" s="25">
        <f t="shared" ref="AB37" si="30">ROUND(IF(AA37="Fixed",Z37,(Z37*AA37)),2)</f>
        <v>0</v>
      </c>
      <c r="AD37" s="173">
        <f>INDEX(Input!$C$46:$AM$58,MATCH($A37,Input!$A$46:$A$58,0),MATCH(AD$13,Input!$C$45:$AM$45,0))</f>
        <v>0</v>
      </c>
      <c r="AE37" s="31">
        <f>IF(VLOOKUP($A37,Input!$A$46:$B$58,2,FALSE)="Percentage",AF$22,IF(VLOOKUP($A37,Input!$A$46:$B$58,2,FALSE)="Fixed","Fixed",(AE$22)))</f>
        <v>11</v>
      </c>
      <c r="AF37" s="25">
        <f t="shared" ref="AF37" si="31">ROUND(IF(AE37="Fixed",AD37,(AD37*AE37)),2)</f>
        <v>0</v>
      </c>
      <c r="AH37" s="173">
        <f>INDEX(Input!$C$46:$AM$58,MATCH($A37,Input!$A$46:$A$58,0),MATCH(AH$13,Input!$C$45:$AM$45,0))</f>
        <v>0</v>
      </c>
      <c r="AI37" s="31">
        <f>IF(VLOOKUP($A37,Input!$A$46:$B$58,2,FALSE)="Percentage",AJ$22,IF(VLOOKUP($A37,Input!$A$46:$B$58,2,FALSE)="Fixed","Fixed",(AI$22)))</f>
        <v>11</v>
      </c>
      <c r="AJ37" s="25">
        <f t="shared" ref="AJ37" si="32">ROUND(IF(AI37="Fixed",AH37,(AH37*AI37)),2)</f>
        <v>0</v>
      </c>
      <c r="AL37" s="173">
        <f>INDEX(Input!$C$46:$AM$58,MATCH($A37,Input!$A$46:$A$58,0),MATCH(AL$13,Input!$C$45:$AM$45,0))</f>
        <v>0</v>
      </c>
      <c r="AM37" s="31">
        <f>IF(VLOOKUP($A37,Input!$A$46:$B$58,2,FALSE)="Percentage",AN$22,IF(VLOOKUP($A37,Input!$A$46:$B$58,2,FALSE)="Fixed","Fixed",(AM$22)))</f>
        <v>11</v>
      </c>
      <c r="AN37" s="25">
        <f t="shared" ref="AN37" si="33">ROUND(IF(AM37="Fixed",AL37,(AL37*AM37)),2)</f>
        <v>0</v>
      </c>
      <c r="AP37" s="173">
        <f>INDEX(Input!$C$46:$AM$58,MATCH($A37,Input!$A$46:$A$58,0),MATCH(AP$13,Input!$C$45:$AM$45,0))</f>
        <v>0</v>
      </c>
      <c r="AQ37" s="31">
        <f>IF(VLOOKUP($A37,Input!$A$46:$B$58,2,FALSE)="Percentage",AR$22,IF(VLOOKUP($A37,Input!$A$46:$B$58,2,FALSE)="Fixed","Fixed",(AQ$22)))</f>
        <v>11</v>
      </c>
      <c r="AR37" s="25">
        <f t="shared" ref="AR37" si="34">ROUND(IF(AQ37="Fixed",AP37,(AP37*AQ37)),2)</f>
        <v>0</v>
      </c>
      <c r="AS37" s="30"/>
      <c r="AT37" s="173">
        <f>INDEX(Input!$C$46:$AM$58,MATCH($A37,Input!$A$46:$A$58,0),MATCH(AT$13,Input!$C$45:$AM$45,0))</f>
        <v>0</v>
      </c>
      <c r="AU37" s="31">
        <f>IF(VLOOKUP($A37,Input!$A$46:$B$58,2,FALSE)="Percentage",AV$22,IF(VLOOKUP($A37,Input!$A$46:$B$58,2,FALSE)="Fixed","Fixed",(AU$22)))</f>
        <v>11</v>
      </c>
      <c r="AV37" s="25">
        <f t="shared" ref="AV37" si="35">ROUND(IF(AU37="Fixed",AT37,(AT37*AU37)),2)</f>
        <v>0</v>
      </c>
    </row>
    <row r="38" spans="1:48" x14ac:dyDescent="0.55000000000000004">
      <c r="A38" t="s">
        <v>39</v>
      </c>
      <c r="B38" s="16"/>
      <c r="C38" s="17"/>
      <c r="D38" s="26">
        <f>SUM(D25:D37)</f>
        <v>6.46</v>
      </c>
      <c r="F38" s="16"/>
      <c r="G38" s="17"/>
      <c r="H38" s="26">
        <f>SUM(H25:H37)</f>
        <v>6.46</v>
      </c>
      <c r="J38" s="16"/>
      <c r="K38" s="17"/>
      <c r="L38" s="26">
        <f>SUM(L25:L37)</f>
        <v>6.46</v>
      </c>
      <c r="N38" s="16"/>
      <c r="O38" s="17"/>
      <c r="P38" s="26">
        <f>SUM(P25:P37)</f>
        <v>6.46</v>
      </c>
      <c r="R38" s="16"/>
      <c r="S38" s="17"/>
      <c r="T38" s="26">
        <f>SUM(T25:T37)</f>
        <v>6.46</v>
      </c>
      <c r="V38" s="16"/>
      <c r="W38" s="17"/>
      <c r="X38" s="26">
        <f>SUM(X25:X37)</f>
        <v>6.46</v>
      </c>
      <c r="Z38" s="16"/>
      <c r="AA38" s="17"/>
      <c r="AB38" s="26">
        <f>SUM(AB25:AB37)</f>
        <v>6.46</v>
      </c>
      <c r="AD38" s="16"/>
      <c r="AE38" s="17"/>
      <c r="AF38" s="26">
        <f>SUM(AF25:AF37)</f>
        <v>6.46</v>
      </c>
      <c r="AH38" s="16"/>
      <c r="AI38" s="17"/>
      <c r="AJ38" s="26">
        <f>SUM(AJ25:AJ37)</f>
        <v>6.3599999999999994</v>
      </c>
      <c r="AL38" s="16"/>
      <c r="AM38" s="17"/>
      <c r="AN38" s="26">
        <f>SUM(AN25:AN37)</f>
        <v>6.3599999999999994</v>
      </c>
      <c r="AP38" s="16"/>
      <c r="AQ38" s="17"/>
      <c r="AR38" s="26">
        <f>SUM(AR25:AR37)</f>
        <v>6.3599999999999994</v>
      </c>
      <c r="AS38" s="64"/>
      <c r="AT38" s="16"/>
      <c r="AU38" s="17"/>
      <c r="AV38" s="26">
        <f>SUM(AV25:AV37)</f>
        <v>6.3599999999999994</v>
      </c>
    </row>
    <row r="39" spans="1:48" x14ac:dyDescent="0.55000000000000004">
      <c r="B39" s="16"/>
      <c r="C39" s="17"/>
      <c r="D39" s="19"/>
      <c r="F39" s="16"/>
      <c r="G39" s="17"/>
      <c r="H39" s="19"/>
      <c r="J39" s="16"/>
      <c r="K39" s="17"/>
      <c r="L39" s="19"/>
      <c r="N39" s="16"/>
      <c r="O39" s="17"/>
      <c r="P39" s="19"/>
      <c r="R39" s="16"/>
      <c r="S39" s="17"/>
      <c r="T39" s="19"/>
      <c r="V39" s="16"/>
      <c r="W39" s="17"/>
      <c r="X39" s="19"/>
      <c r="Z39" s="16"/>
      <c r="AA39" s="17"/>
      <c r="AB39" s="19"/>
      <c r="AD39" s="16"/>
      <c r="AE39" s="17"/>
      <c r="AF39" s="19"/>
      <c r="AH39" s="16"/>
      <c r="AI39" s="17"/>
      <c r="AJ39" s="19"/>
      <c r="AL39" s="16"/>
      <c r="AM39" s="17"/>
      <c r="AN39" s="19"/>
      <c r="AP39" s="16"/>
      <c r="AQ39" s="17"/>
      <c r="AR39" s="19"/>
      <c r="AS39" s="17"/>
      <c r="AT39" s="16"/>
      <c r="AU39" s="17"/>
      <c r="AV39" s="19"/>
    </row>
    <row r="40" spans="1:48" x14ac:dyDescent="0.55000000000000004">
      <c r="A40" s="1" t="s">
        <v>35</v>
      </c>
      <c r="B40" s="20" t="s">
        <v>29</v>
      </c>
      <c r="C40" s="21" t="s">
        <v>45</v>
      </c>
      <c r="D40" s="22" t="s">
        <v>30</v>
      </c>
      <c r="F40" s="20" t="s">
        <v>29</v>
      </c>
      <c r="G40" s="21" t="s">
        <v>45</v>
      </c>
      <c r="H40" s="22" t="s">
        <v>30</v>
      </c>
      <c r="J40" s="20" t="s">
        <v>29</v>
      </c>
      <c r="K40" s="21" t="s">
        <v>45</v>
      </c>
      <c r="L40" s="22" t="s">
        <v>30</v>
      </c>
      <c r="N40" s="20" t="s">
        <v>29</v>
      </c>
      <c r="O40" s="21" t="s">
        <v>45</v>
      </c>
      <c r="P40" s="22" t="s">
        <v>30</v>
      </c>
      <c r="R40" s="20" t="s">
        <v>29</v>
      </c>
      <c r="S40" s="21" t="s">
        <v>45</v>
      </c>
      <c r="T40" s="22" t="s">
        <v>30</v>
      </c>
      <c r="V40" s="20" t="s">
        <v>29</v>
      </c>
      <c r="W40" s="21" t="s">
        <v>45</v>
      </c>
      <c r="X40" s="22" t="s">
        <v>30</v>
      </c>
      <c r="Z40" s="20" t="s">
        <v>29</v>
      </c>
      <c r="AA40" s="21" t="s">
        <v>45</v>
      </c>
      <c r="AB40" s="22" t="s">
        <v>30</v>
      </c>
      <c r="AD40" s="20" t="s">
        <v>29</v>
      </c>
      <c r="AE40" s="21" t="s">
        <v>45</v>
      </c>
      <c r="AF40" s="22" t="s">
        <v>30</v>
      </c>
      <c r="AH40" s="20" t="s">
        <v>29</v>
      </c>
      <c r="AI40" s="21" t="s">
        <v>45</v>
      </c>
      <c r="AJ40" s="22" t="s">
        <v>30</v>
      </c>
      <c r="AL40" s="20" t="s">
        <v>29</v>
      </c>
      <c r="AM40" s="21" t="s">
        <v>45</v>
      </c>
      <c r="AN40" s="22" t="s">
        <v>30</v>
      </c>
      <c r="AP40" s="20" t="s">
        <v>29</v>
      </c>
      <c r="AQ40" s="21" t="s">
        <v>45</v>
      </c>
      <c r="AR40" s="22" t="s">
        <v>30</v>
      </c>
      <c r="AS40" s="170"/>
      <c r="AT40" s="20" t="s">
        <v>29</v>
      </c>
      <c r="AU40" s="21" t="s">
        <v>45</v>
      </c>
      <c r="AV40" s="22" t="s">
        <v>30</v>
      </c>
    </row>
    <row r="41" spans="1:48" x14ac:dyDescent="0.55000000000000004">
      <c r="A41" t="str">
        <f>+Input!A77</f>
        <v>CPUC Fee</v>
      </c>
      <c r="B41" s="29">
        <f>INDEX(Input!$C$77:$AL$82,MATCH('Residential Bills_Yr 2_avg'!$A$41,Input!$A$77:$A$82,0),MATCH('Residential Bills_Yr 2_avg'!B13:D13,Input!$C$76:$AL$76,0))</f>
        <v>8.0000000000000002E-3</v>
      </c>
      <c r="C41" s="30">
        <f>D22+D38</f>
        <v>114.04</v>
      </c>
      <c r="D41" s="25">
        <f>ROUND(B41*C41,2)</f>
        <v>0.91</v>
      </c>
      <c r="F41" s="29">
        <f>INDEX(Input!$C$77:$AL$82,MATCH('Residential Bills_Yr 2_avg'!$A$41,Input!$A$77:$A$82,0),MATCH('Residential Bills_Yr 2_avg'!F13:H13,Input!$C$76:$AL$76,0))</f>
        <v>8.0000000000000002E-3</v>
      </c>
      <c r="G41" s="30">
        <f>H22+H38</f>
        <v>114.04</v>
      </c>
      <c r="H41" s="25">
        <f>ROUND(F41*G41,2)</f>
        <v>0.91</v>
      </c>
      <c r="J41" s="29">
        <f>INDEX(Input!$C$77:$AL$82,MATCH('Residential Bills_Yr 2_avg'!$A$41,Input!$A$77:$A$82,0),MATCH('Residential Bills_Yr 2_avg'!J13:L13,Input!$C$76:$AL$76,0))</f>
        <v>8.0000000000000002E-3</v>
      </c>
      <c r="K41" s="30">
        <f>L22+L38</f>
        <v>114.04</v>
      </c>
      <c r="L41" s="25">
        <f>ROUND(J41*K41,2)</f>
        <v>0.91</v>
      </c>
      <c r="N41" s="29">
        <f>INDEX(Input!$C$77:$AL$82,MATCH('Residential Bills_Yr 2_avg'!$A$41,Input!$A$77:$A$82,0),MATCH('Residential Bills_Yr 2_avg'!N13:P13,Input!$C$76:$AL$76,0))</f>
        <v>8.0000000000000002E-3</v>
      </c>
      <c r="O41" s="30">
        <f>P22+P38</f>
        <v>114.04</v>
      </c>
      <c r="P41" s="25">
        <f>ROUND(N41*O41,2)</f>
        <v>0.91</v>
      </c>
      <c r="R41" s="29">
        <f>INDEX(Input!$C$77:$AL$82,MATCH('Residential Bills_Yr 2_avg'!$A$41,Input!$A$77:$A$82,0),MATCH('Residential Bills_Yr 2_avg'!R13:T13,Input!$C$76:$AL$76,0))</f>
        <v>8.0000000000000002E-3</v>
      </c>
      <c r="S41" s="30">
        <f>T22+T38</f>
        <v>114.04</v>
      </c>
      <c r="T41" s="25">
        <f>ROUND(R41*S41,2)</f>
        <v>0.91</v>
      </c>
      <c r="V41" s="29">
        <f>INDEX(Input!$C$77:$AL$82,MATCH('Residential Bills_Yr 2_avg'!$A$41,Input!$A$77:$A$82,0),MATCH('Residential Bills_Yr 2_avg'!V13:X13,Input!$C$76:$AL$76,0))</f>
        <v>8.0000000000000002E-3</v>
      </c>
      <c r="W41" s="30">
        <f>X22+X38</f>
        <v>114.04</v>
      </c>
      <c r="X41" s="25">
        <f>ROUND(V41*W41,2)</f>
        <v>0.91</v>
      </c>
      <c r="Z41" s="29">
        <f>INDEX(Input!$C$77:$AL$82,MATCH('Residential Bills_Yr 2_avg'!$A$41,Input!$A$77:$A$82,0),MATCH('Residential Bills_Yr 2_avg'!Z13:AB13,Input!$C$76:$AL$76,0))</f>
        <v>8.0000000000000002E-3</v>
      </c>
      <c r="AA41" s="30">
        <f>AB22+AB38</f>
        <v>114.04</v>
      </c>
      <c r="AB41" s="25">
        <f>ROUND(Z41*AA41,2)</f>
        <v>0.91</v>
      </c>
      <c r="AD41" s="29">
        <f>INDEX(Input!$C$77:$AL$82,MATCH('Residential Bills_Yr 2_avg'!$A$41,Input!$A$77:$A$82,0),MATCH('Residential Bills_Yr 2_avg'!AD13:AF13,Input!$C$76:$AL$76,0))</f>
        <v>8.0000000000000002E-3</v>
      </c>
      <c r="AE41" s="30">
        <f>AF22+AF38</f>
        <v>114.04</v>
      </c>
      <c r="AF41" s="25">
        <f>ROUND(AD41*AE41,2)</f>
        <v>0.91</v>
      </c>
      <c r="AH41" s="29">
        <f>INDEX(Input!$C$77:$AL$82,MATCH('Residential Bills_Yr 2_avg'!$A$41,Input!$A$77:$A$82,0),MATCH('Residential Bills_Yr 2_avg'!AH13:AJ13,Input!$C$76:$AL$76,0))</f>
        <v>8.0000000000000002E-3</v>
      </c>
      <c r="AI41" s="30">
        <f>AJ22+AJ38</f>
        <v>113.94000000000001</v>
      </c>
      <c r="AJ41" s="25">
        <f>ROUND(AH41*AI41,2)</f>
        <v>0.91</v>
      </c>
      <c r="AL41" s="29">
        <f>INDEX(Input!$C$77:$AL$82,MATCH('Residential Bills_Yr 2_avg'!$A$41,Input!$A$77:$A$82,0),MATCH('Residential Bills_Yr 2_avg'!AL13:AN13,Input!$C$76:$AL$76,0))</f>
        <v>8.0000000000000002E-3</v>
      </c>
      <c r="AM41" s="30">
        <f>AN22+AN38</f>
        <v>113.94000000000001</v>
      </c>
      <c r="AN41" s="25">
        <f>ROUND(AL41*AM41,2)</f>
        <v>0.91</v>
      </c>
      <c r="AP41" s="29">
        <f>INDEX(Input!$C$77:$AL$82,MATCH('Residential Bills_Yr 2_avg'!$A$41,Input!$A$77:$A$82,0),MATCH('Residential Bills_Yr 2_avg'!AP13:AR13,Input!$C$76:$AL$76,0))</f>
        <v>8.0000000000000002E-3</v>
      </c>
      <c r="AQ41" s="30">
        <f>AR22+AR38</f>
        <v>113.94000000000001</v>
      </c>
      <c r="AR41" s="25">
        <f>ROUND(AP41*AQ41,2)</f>
        <v>0.91</v>
      </c>
      <c r="AS41" s="30"/>
      <c r="AT41" s="29">
        <f>INDEX(Input!$C$77:$AL$82,MATCH('Residential Bills_Yr 2_avg'!$A$41,Input!$A$77:$A$82,0),MATCH('Residential Bills_Yr 2_avg'!AT13:AV13,Input!$C$76:$AL$76,0))</f>
        <v>8.0000000000000002E-3</v>
      </c>
      <c r="AU41" s="30">
        <f>AV22+AV38</f>
        <v>113.94000000000001</v>
      </c>
      <c r="AV41" s="25">
        <f>ROUND(AT41*AU41,2)</f>
        <v>0.91</v>
      </c>
    </row>
    <row r="42" spans="1:48" ht="14.5" customHeight="1" x14ac:dyDescent="0.55000000000000004">
      <c r="A42" t="str">
        <f>+Input!A78</f>
        <v>CSJ UTT</v>
      </c>
      <c r="B42" s="29">
        <f>INDEX(Input!$C$77:$AL$82,MATCH('Residential Bills_Yr 1_avg'!$A$42,Input!$A$77:$A$82,0),MATCH('Residential Bills_Yr 1_avg'!B13,Input!$C$76:$AL$76,0))</f>
        <v>0.05</v>
      </c>
      <c r="C42" s="30">
        <f>D22+D38+D41</f>
        <v>114.95</v>
      </c>
      <c r="D42" s="25">
        <f>ROUND(B42*C42,2)</f>
        <v>5.75</v>
      </c>
      <c r="F42" s="29">
        <f>INDEX(Input!$C$77:$AL$82,MATCH('Residential Bills_Yr 1_avg'!$A$42,Input!$A$77:$A$82,0),MATCH('Residential Bills_Yr 1_avg'!F13,Input!$C$76:$AL$76,0))</f>
        <v>0.05</v>
      </c>
      <c r="G42" s="30">
        <f>H22+H38+H41</f>
        <v>114.95</v>
      </c>
      <c r="H42" s="25">
        <f>ROUND(F42*G42,2)</f>
        <v>5.75</v>
      </c>
      <c r="J42" s="29">
        <f>INDEX(Input!$C$77:$AL$82,MATCH('Residential Bills_Yr 1_avg'!$A$42,Input!$A$77:$A$82,0),MATCH('Residential Bills_Yr 1_avg'!J13,Input!$C$76:$AL$76,0))</f>
        <v>0.05</v>
      </c>
      <c r="K42" s="30">
        <f>L22+L38+L41</f>
        <v>114.95</v>
      </c>
      <c r="L42" s="25">
        <f>ROUND(J42*K42,2)</f>
        <v>5.75</v>
      </c>
      <c r="N42" s="29">
        <f>INDEX(Input!$C$77:$AL$82,MATCH('Residential Bills_Yr 1_avg'!$A$42,Input!$A$77:$A$82,0),MATCH('Residential Bills_Yr 1_avg'!N13,Input!$C$76:$AL$76,0))</f>
        <v>0.05</v>
      </c>
      <c r="O42" s="30">
        <f>P22+P38+P41</f>
        <v>114.95</v>
      </c>
      <c r="P42" s="25">
        <f>ROUND(N42*O42,2)</f>
        <v>5.75</v>
      </c>
      <c r="R42" s="29">
        <f>INDEX(Input!$C$77:$AL$82,MATCH('Residential Bills_Yr 1_avg'!$A$42,Input!$A$77:$A$82,0),MATCH('Residential Bills_Yr 1_avg'!R13,Input!$C$76:$AL$76,0))</f>
        <v>0.05</v>
      </c>
      <c r="S42" s="30">
        <f>T22+T38+T41</f>
        <v>114.95</v>
      </c>
      <c r="T42" s="25">
        <f>ROUND(R42*S42,2)</f>
        <v>5.75</v>
      </c>
      <c r="V42" s="29">
        <f>INDEX(Input!$C$77:$AL$82,MATCH('Residential Bills_Yr 1_avg'!$A$42,Input!$A$77:$A$82,0),MATCH('Residential Bills_Yr 1_avg'!V13,Input!$C$76:$AL$76,0))</f>
        <v>0.05</v>
      </c>
      <c r="W42" s="30">
        <f>X22+X38+X41</f>
        <v>114.95</v>
      </c>
      <c r="X42" s="25">
        <f>ROUND(V42*W42,2)</f>
        <v>5.75</v>
      </c>
      <c r="Z42" s="29">
        <f>INDEX(Input!$C$77:$AL$82,MATCH('Residential Bills_Yr 1_avg'!$A$42,Input!$A$77:$A$82,0),MATCH('Residential Bills_Yr 1_avg'!Z13,Input!$C$76:$AL$76,0))</f>
        <v>0.05</v>
      </c>
      <c r="AA42" s="30">
        <f>AB22+AB38+AB41</f>
        <v>114.95</v>
      </c>
      <c r="AB42" s="25">
        <f>ROUND(Z42*AA42,2)</f>
        <v>5.75</v>
      </c>
      <c r="AD42" s="29">
        <f>INDEX(Input!$C$77:$AL$82,MATCH('Residential Bills_Yr 1_avg'!$A$42,Input!$A$77:$A$82,0),MATCH('Residential Bills_Yr 1_avg'!AD13,Input!$C$76:$AL$76,0))</f>
        <v>0.05</v>
      </c>
      <c r="AE42" s="30">
        <f>AF22+AF38+AF41</f>
        <v>114.95</v>
      </c>
      <c r="AF42" s="25">
        <f>ROUND(AD42*AE42,2)</f>
        <v>5.75</v>
      </c>
      <c r="AH42" s="29">
        <f>INDEX(Input!$C$77:$AL$82,MATCH('Residential Bills_Yr 1_avg'!$A$42,Input!$A$77:$A$82,0),MATCH('Residential Bills_Yr 1_avg'!AH13,Input!$C$76:$AL$76,0))</f>
        <v>0.05</v>
      </c>
      <c r="AI42" s="30">
        <f>AJ22+AJ38+AJ41</f>
        <v>114.85000000000001</v>
      </c>
      <c r="AJ42" s="25">
        <f>ROUND(AH42*AI42,2)</f>
        <v>5.74</v>
      </c>
      <c r="AL42" s="29">
        <f>INDEX(Input!$C$77:$AL$82,MATCH('Residential Bills_Yr 1_avg'!$A$42,Input!$A$77:$A$82,0),MATCH('Residential Bills_Yr 1_avg'!AL13,Input!$C$76:$AL$76,0))</f>
        <v>0.05</v>
      </c>
      <c r="AM42" s="30">
        <f>AN22+AN38+AN41</f>
        <v>114.85000000000001</v>
      </c>
      <c r="AN42" s="25">
        <f>ROUND(AL42*AM42,2)</f>
        <v>5.74</v>
      </c>
      <c r="AP42" s="29">
        <f>INDEX(Input!$C$77:$AL$82,MATCH('Residential Bills_Yr 1_avg'!$A$42,Input!$A$77:$A$82,0),MATCH('Residential Bills_Yr 1_avg'!AP13,Input!$C$76:$AL$76,0))</f>
        <v>0.05</v>
      </c>
      <c r="AQ42" s="30">
        <f>AR22+AR38+AR41</f>
        <v>114.85000000000001</v>
      </c>
      <c r="AR42" s="25">
        <f>ROUND(AP42*AQ42,2)</f>
        <v>5.74</v>
      </c>
      <c r="AS42" s="17"/>
      <c r="AT42" s="29">
        <f>INDEX(Input!$C$77:$AL$82,MATCH('Residential Bills_Yr 1_avg'!$A$42,Input!$A$77:$A$82,0),MATCH('Residential Bills_Yr 1_avg'!AT13,Input!$C$76:$AL$76,0))</f>
        <v>0.05</v>
      </c>
      <c r="AU42" s="30">
        <f>AV22+AV38+AV41</f>
        <v>114.85000000000001</v>
      </c>
      <c r="AV42" s="25">
        <f>ROUND(AT42*AU42,2)</f>
        <v>5.74</v>
      </c>
    </row>
    <row r="43" spans="1:48" ht="14.5" customHeight="1" x14ac:dyDescent="0.55000000000000004">
      <c r="A43" t="str">
        <f>+Input!A79</f>
        <v>Reserved</v>
      </c>
      <c r="B43" s="16"/>
      <c r="C43" s="17"/>
      <c r="D43" s="19"/>
      <c r="F43" s="16"/>
      <c r="G43" s="17"/>
      <c r="H43" s="19"/>
      <c r="J43" s="16"/>
      <c r="K43" s="17"/>
      <c r="L43" s="19"/>
      <c r="N43" s="16"/>
      <c r="O43" s="17"/>
      <c r="P43" s="19"/>
      <c r="R43" s="16"/>
      <c r="S43" s="17"/>
      <c r="T43" s="19"/>
      <c r="V43" s="16"/>
      <c r="W43" s="17"/>
      <c r="X43" s="19"/>
      <c r="Z43" s="16"/>
      <c r="AA43" s="17"/>
      <c r="AB43" s="19"/>
      <c r="AD43" s="16"/>
      <c r="AE43" s="17"/>
      <c r="AF43" s="19"/>
      <c r="AH43" s="16"/>
      <c r="AI43" s="17"/>
      <c r="AJ43" s="19"/>
      <c r="AL43" s="16"/>
      <c r="AM43" s="17"/>
      <c r="AN43" s="19"/>
      <c r="AP43" s="16"/>
      <c r="AQ43" s="17"/>
      <c r="AR43" s="19"/>
      <c r="AS43" s="17"/>
      <c r="AT43" s="16"/>
      <c r="AU43" s="17"/>
      <c r="AV43" s="19"/>
    </row>
    <row r="44" spans="1:48" ht="14.5" customHeight="1" x14ac:dyDescent="0.55000000000000004">
      <c r="A44" t="str">
        <f>+Input!A80</f>
        <v>Reserved</v>
      </c>
      <c r="B44" s="16"/>
      <c r="C44" s="17"/>
      <c r="D44" s="19"/>
      <c r="F44" s="16"/>
      <c r="G44" s="17"/>
      <c r="H44" s="19"/>
      <c r="J44" s="16"/>
      <c r="K44" s="17"/>
      <c r="L44" s="19"/>
      <c r="N44" s="16"/>
      <c r="O44" s="17"/>
      <c r="P44" s="19"/>
      <c r="R44" s="16"/>
      <c r="S44" s="17"/>
      <c r="T44" s="19"/>
      <c r="V44" s="16"/>
      <c r="W44" s="17"/>
      <c r="X44" s="19"/>
      <c r="Z44" s="16"/>
      <c r="AA44" s="17"/>
      <c r="AB44" s="19"/>
      <c r="AD44" s="16"/>
      <c r="AE44" s="17"/>
      <c r="AF44" s="19"/>
      <c r="AH44" s="16"/>
      <c r="AI44" s="17"/>
      <c r="AJ44" s="19"/>
      <c r="AL44" s="16"/>
      <c r="AM44" s="17"/>
      <c r="AN44" s="19"/>
      <c r="AP44" s="16"/>
      <c r="AQ44" s="17"/>
      <c r="AR44" s="19"/>
      <c r="AS44" s="17"/>
      <c r="AT44" s="16"/>
      <c r="AU44" s="17"/>
      <c r="AV44" s="19"/>
    </row>
    <row r="45" spans="1:48" ht="14.5" customHeight="1" x14ac:dyDescent="0.55000000000000004">
      <c r="A45" t="str">
        <f>+Input!A81</f>
        <v>Reserved</v>
      </c>
      <c r="B45" s="16"/>
      <c r="C45" s="17"/>
      <c r="D45" s="19"/>
      <c r="F45" s="16"/>
      <c r="G45" s="17"/>
      <c r="H45" s="19"/>
      <c r="J45" s="16"/>
      <c r="K45" s="17"/>
      <c r="L45" s="19"/>
      <c r="N45" s="16"/>
      <c r="O45" s="17"/>
      <c r="P45" s="19"/>
      <c r="R45" s="16"/>
      <c r="S45" s="17"/>
      <c r="T45" s="19"/>
      <c r="V45" s="16"/>
      <c r="W45" s="17"/>
      <c r="X45" s="19"/>
      <c r="Z45" s="16"/>
      <c r="AA45" s="17"/>
      <c r="AB45" s="19"/>
      <c r="AD45" s="16"/>
      <c r="AE45" s="17"/>
      <c r="AF45" s="19"/>
      <c r="AH45" s="16"/>
      <c r="AI45" s="17"/>
      <c r="AJ45" s="19"/>
      <c r="AL45" s="16"/>
      <c r="AM45" s="17"/>
      <c r="AN45" s="19"/>
      <c r="AP45" s="16"/>
      <c r="AQ45" s="17"/>
      <c r="AR45" s="19"/>
      <c r="AS45" s="17"/>
      <c r="AT45" s="16"/>
      <c r="AU45" s="17"/>
      <c r="AV45" s="19"/>
    </row>
    <row r="46" spans="1:48" ht="14.5" customHeight="1" x14ac:dyDescent="0.55000000000000004">
      <c r="A46" t="str">
        <f>+Input!A82</f>
        <v>Reserved</v>
      </c>
      <c r="B46" s="16"/>
      <c r="C46" s="17"/>
      <c r="D46" s="19"/>
      <c r="F46" s="16"/>
      <c r="G46" s="17"/>
      <c r="H46" s="19"/>
      <c r="J46" s="16"/>
      <c r="K46" s="17"/>
      <c r="L46" s="19"/>
      <c r="N46" s="16"/>
      <c r="O46" s="17"/>
      <c r="P46" s="19"/>
      <c r="R46" s="16"/>
      <c r="S46" s="17"/>
      <c r="T46" s="19"/>
      <c r="V46" s="16"/>
      <c r="W46" s="17"/>
      <c r="X46" s="19"/>
      <c r="Z46" s="16"/>
      <c r="AA46" s="17"/>
      <c r="AB46" s="19"/>
      <c r="AD46" s="16"/>
      <c r="AE46" s="17"/>
      <c r="AF46" s="19"/>
      <c r="AH46" s="16"/>
      <c r="AI46" s="17"/>
      <c r="AJ46" s="19"/>
      <c r="AL46" s="16"/>
      <c r="AM46" s="17"/>
      <c r="AN46" s="19"/>
      <c r="AP46" s="16"/>
      <c r="AQ46" s="17"/>
      <c r="AR46" s="19"/>
      <c r="AS46" s="17"/>
      <c r="AT46" s="16"/>
      <c r="AU46" s="17"/>
      <c r="AV46" s="19"/>
    </row>
    <row r="47" spans="1:48" x14ac:dyDescent="0.55000000000000004">
      <c r="A47" t="s">
        <v>39</v>
      </c>
      <c r="B47" s="16"/>
      <c r="C47" s="17"/>
      <c r="D47" s="19"/>
      <c r="F47" s="16"/>
      <c r="G47" s="17"/>
      <c r="H47" s="19"/>
      <c r="J47" s="16"/>
      <c r="K47" s="17"/>
      <c r="L47" s="19"/>
      <c r="N47" s="16"/>
      <c r="O47" s="17"/>
      <c r="P47" s="19"/>
      <c r="R47" s="16"/>
      <c r="S47" s="17"/>
      <c r="T47" s="19"/>
      <c r="V47" s="16"/>
      <c r="W47" s="17"/>
      <c r="X47" s="19"/>
      <c r="Z47" s="16"/>
      <c r="AA47" s="17"/>
      <c r="AB47" s="19"/>
      <c r="AD47" s="16"/>
      <c r="AE47" s="17"/>
      <c r="AF47" s="19"/>
      <c r="AH47" s="16"/>
      <c r="AI47" s="17"/>
      <c r="AJ47" s="19"/>
      <c r="AL47" s="16"/>
      <c r="AM47" s="17"/>
      <c r="AN47" s="19"/>
      <c r="AP47" s="16"/>
      <c r="AQ47" s="17"/>
      <c r="AR47" s="19"/>
      <c r="AS47" s="17"/>
      <c r="AT47" s="16"/>
      <c r="AU47" s="17"/>
      <c r="AV47" s="19"/>
    </row>
    <row r="48" spans="1:48" x14ac:dyDescent="0.55000000000000004">
      <c r="B48" s="16"/>
      <c r="C48" s="17"/>
      <c r="D48" s="19"/>
      <c r="F48" s="16"/>
      <c r="G48" s="17"/>
      <c r="H48" s="19"/>
      <c r="J48" s="16"/>
      <c r="K48" s="17"/>
      <c r="L48" s="19"/>
      <c r="N48" s="16"/>
      <c r="O48" s="17"/>
      <c r="P48" s="19"/>
      <c r="R48" s="16"/>
      <c r="S48" s="17"/>
      <c r="T48" s="19"/>
      <c r="V48" s="16"/>
      <c r="W48" s="17"/>
      <c r="X48" s="19"/>
      <c r="Z48" s="16"/>
      <c r="AA48" s="17"/>
      <c r="AB48" s="19"/>
      <c r="AD48" s="16"/>
      <c r="AE48" s="17"/>
      <c r="AF48" s="19"/>
      <c r="AH48" s="16"/>
      <c r="AI48" s="17"/>
      <c r="AJ48" s="19"/>
      <c r="AL48" s="16"/>
      <c r="AM48" s="17"/>
      <c r="AN48" s="19"/>
      <c r="AP48" s="16"/>
      <c r="AQ48" s="17"/>
      <c r="AR48" s="19"/>
      <c r="AS48" s="17"/>
      <c r="AT48" s="16"/>
      <c r="AU48" s="17"/>
      <c r="AV48" s="19"/>
    </row>
    <row r="49" spans="1:48" ht="14.7" thickBot="1" x14ac:dyDescent="0.6">
      <c r="A49" t="s">
        <v>40</v>
      </c>
      <c r="B49" s="27"/>
      <c r="C49" s="28"/>
      <c r="D49" s="32">
        <f>D22+D38+D41+D42</f>
        <v>120.7</v>
      </c>
      <c r="F49" s="27"/>
      <c r="G49" s="28"/>
      <c r="H49" s="32">
        <f>H22+H38+H41+H42</f>
        <v>120.7</v>
      </c>
      <c r="J49" s="27"/>
      <c r="K49" s="28"/>
      <c r="L49" s="32">
        <f>L22+L38+L41+L42</f>
        <v>120.7</v>
      </c>
      <c r="N49" s="27"/>
      <c r="O49" s="28"/>
      <c r="P49" s="32">
        <f>P22+P38+P41+P42</f>
        <v>120.7</v>
      </c>
      <c r="R49" s="27"/>
      <c r="S49" s="28"/>
      <c r="T49" s="32">
        <f>T22+T38+T41+T42</f>
        <v>120.7</v>
      </c>
      <c r="V49" s="27"/>
      <c r="W49" s="28"/>
      <c r="X49" s="32">
        <f>X22+X38+X41+X42</f>
        <v>120.7</v>
      </c>
      <c r="Z49" s="27"/>
      <c r="AA49" s="28"/>
      <c r="AB49" s="32">
        <f>AB22+AB38+AB41+AB42</f>
        <v>120.7</v>
      </c>
      <c r="AD49" s="27"/>
      <c r="AE49" s="28"/>
      <c r="AF49" s="32">
        <f>AF22+AF38+AF41+AF42</f>
        <v>120.7</v>
      </c>
      <c r="AH49" s="27"/>
      <c r="AI49" s="28"/>
      <c r="AJ49" s="32">
        <f>AJ22+AJ38+AJ41+AJ42</f>
        <v>120.59</v>
      </c>
      <c r="AL49" s="27"/>
      <c r="AM49" s="28"/>
      <c r="AN49" s="32">
        <f>AN22+AN38+AN41+AN42</f>
        <v>120.59</v>
      </c>
      <c r="AP49" s="27"/>
      <c r="AQ49" s="28"/>
      <c r="AR49" s="32">
        <f>AR22+AR38+AR41+AR42</f>
        <v>120.59</v>
      </c>
      <c r="AS49" s="176"/>
      <c r="AT49" s="27"/>
      <c r="AU49" s="28"/>
      <c r="AV49" s="32">
        <f>AV22+AV38+AV41+AV42</f>
        <v>120.59</v>
      </c>
    </row>
    <row r="51" spans="1:48" x14ac:dyDescent="0.55000000000000004">
      <c r="A51" t="s">
        <v>81</v>
      </c>
    </row>
    <row r="52" spans="1:48" ht="14.7" thickBot="1" x14ac:dyDescent="0.6"/>
    <row r="53" spans="1:48" x14ac:dyDescent="0.55000000000000004">
      <c r="A53" s="11" t="s">
        <v>83</v>
      </c>
      <c r="B53" s="12">
        <f>Input!$B$10</f>
        <v>2023</v>
      </c>
    </row>
    <row r="54" spans="1:48" x14ac:dyDescent="0.55000000000000004">
      <c r="A54" s="13" t="s">
        <v>6</v>
      </c>
      <c r="B54" s="57" t="s">
        <v>14</v>
      </c>
    </row>
    <row r="55" spans="1:48" x14ac:dyDescent="0.55000000000000004">
      <c r="A55" s="13" t="s">
        <v>41</v>
      </c>
      <c r="B55" s="57">
        <f>Input!D10</f>
        <v>11</v>
      </c>
    </row>
    <row r="56" spans="1:48" x14ac:dyDescent="0.55000000000000004">
      <c r="A56" s="13" t="s">
        <v>8</v>
      </c>
      <c r="B56" s="14" t="s">
        <v>24</v>
      </c>
    </row>
    <row r="57" spans="1:48" x14ac:dyDescent="0.55000000000000004">
      <c r="A57" s="13" t="s">
        <v>89</v>
      </c>
      <c r="B57" s="14" t="s">
        <v>26</v>
      </c>
    </row>
    <row r="58" spans="1:48" x14ac:dyDescent="0.55000000000000004">
      <c r="A58" s="13" t="s">
        <v>51</v>
      </c>
      <c r="B58" s="14" t="str">
        <f>VLOOKUP(B59,Input!$A$86:$C$92,2,FALSE)</f>
        <v>San Jose Water Company</v>
      </c>
    </row>
    <row r="59" spans="1:48" ht="14.7" thickBot="1" x14ac:dyDescent="0.6">
      <c r="A59" s="15" t="s">
        <v>28</v>
      </c>
      <c r="B59" s="35" t="str">
        <f>'Residential Bill_Current_avg'!B59</f>
        <v>San Jose Water Company</v>
      </c>
    </row>
    <row r="60" spans="1:48" ht="14.7" thickBot="1" x14ac:dyDescent="0.6">
      <c r="A60" s="34"/>
      <c r="B60" s="24"/>
    </row>
    <row r="61" spans="1:48" ht="14.7" thickBot="1" x14ac:dyDescent="0.6">
      <c r="A61" s="1"/>
      <c r="B61" s="209" t="str">
        <f>CONCATENATE("January"," ",$B$5)</f>
        <v>January 2023</v>
      </c>
      <c r="C61" s="210"/>
      <c r="D61" s="211"/>
      <c r="F61" s="209" t="str">
        <f>CONCATENATE("February"," ",$B$5)</f>
        <v>February 2023</v>
      </c>
      <c r="G61" s="210"/>
      <c r="H61" s="211"/>
      <c r="J61" s="209" t="str">
        <f>CONCATENATE("March"," ",$B$5)</f>
        <v>March 2023</v>
      </c>
      <c r="K61" s="210"/>
      <c r="L61" s="211"/>
      <c r="N61" s="209" t="str">
        <f>CONCATENATE("April"," ",$B$5)</f>
        <v>April 2023</v>
      </c>
      <c r="O61" s="210"/>
      <c r="P61" s="211"/>
      <c r="R61" s="209" t="str">
        <f>CONCATENATE("May"," ",$B$5)</f>
        <v>May 2023</v>
      </c>
      <c r="S61" s="210"/>
      <c r="T61" s="211"/>
      <c r="V61" s="209" t="str">
        <f>CONCATENATE("June"," ",$B$5)</f>
        <v>June 2023</v>
      </c>
      <c r="W61" s="210"/>
      <c r="X61" s="211"/>
      <c r="Z61" s="209" t="str">
        <f>CONCATENATE("July"," ",$B$5)</f>
        <v>July 2023</v>
      </c>
      <c r="AA61" s="210"/>
      <c r="AB61" s="211"/>
      <c r="AD61" s="209" t="str">
        <f>CONCATENATE("August"," ",$B$5)</f>
        <v>August 2023</v>
      </c>
      <c r="AE61" s="210"/>
      <c r="AF61" s="211"/>
      <c r="AH61" s="209" t="str">
        <f>CONCATENATE("September"," ",$B$5)</f>
        <v>September 2023</v>
      </c>
      <c r="AI61" s="210"/>
      <c r="AJ61" s="211"/>
      <c r="AL61" s="209" t="str">
        <f>CONCATENATE("October"," ",$B$5)</f>
        <v>October 2023</v>
      </c>
      <c r="AM61" s="210"/>
      <c r="AN61" s="211"/>
      <c r="AP61" s="209" t="str">
        <f>CONCATENATE("November"," ",$B$5)</f>
        <v>November 2023</v>
      </c>
      <c r="AQ61" s="210"/>
      <c r="AR61" s="211"/>
      <c r="AS61" s="171"/>
      <c r="AT61" s="209" t="str">
        <f>CONCATENATE("December"," ",$B$5)</f>
        <v>December 2023</v>
      </c>
      <c r="AU61" s="210"/>
      <c r="AV61" s="211"/>
    </row>
    <row r="62" spans="1:48" x14ac:dyDescent="0.55000000000000004">
      <c r="A62" s="1" t="s">
        <v>5</v>
      </c>
      <c r="B62" s="16"/>
      <c r="C62" s="17"/>
      <c r="D62" s="190">
        <f>INDEX(Input!$C$28:$AL$42,MATCH('Residential Bills_Yr 2_avg'!$B$54,Input!$A$28:$A$42,0),MATCH('Residential Bills_Yr 2_avg'!B$61,Input!$C$27:$AL$27,0))</f>
        <v>53.02</v>
      </c>
      <c r="F62" s="16"/>
      <c r="G62" s="17"/>
      <c r="H62" s="190">
        <f>INDEX(Input!$C$28:$AL$42,MATCH('Residential Bills_Yr 2_avg'!$B$54,Input!$A$28:$A$42,0),MATCH('Residential Bills_Yr 2_avg'!F$61,Input!$C$27:$AL$27,0))</f>
        <v>53.02</v>
      </c>
      <c r="J62" s="16"/>
      <c r="K62" s="17"/>
      <c r="L62" s="190">
        <f>INDEX(Input!$C$28:$AL$42,MATCH('Residential Bills_Yr 2_avg'!$B$54,Input!$A$28:$A$42,0),MATCH('Residential Bills_Yr 2_avg'!J$61,Input!$C$27:$AL$27,0))</f>
        <v>53.02</v>
      </c>
      <c r="N62" s="16"/>
      <c r="O62" s="17"/>
      <c r="P62" s="18">
        <f>INDEX(Input!$C$28:$AL$42,MATCH('Residential Bills_Yr 2_avg'!$B$54,Input!$A$28:$A$42,0),MATCH('Residential Bills_Yr 2_avg'!N$61,Input!$C$27:$AL$27,0))</f>
        <v>53.02</v>
      </c>
      <c r="R62" s="16"/>
      <c r="S62" s="17"/>
      <c r="T62" s="18">
        <f>INDEX(Input!$C$28:$AL$42,MATCH('Residential Bills_Yr 2_avg'!$B$54,Input!$A$28:$A$42,0),MATCH('Residential Bills_Yr 2_avg'!R$61,Input!$C$27:$AL$27,0))</f>
        <v>53.02</v>
      </c>
      <c r="V62" s="16"/>
      <c r="W62" s="17"/>
      <c r="X62" s="18">
        <f>INDEX(Input!$C$28:$AL$42,MATCH('Residential Bills_Yr 2_avg'!$B$54,Input!$A$28:$A$42,0),MATCH('Residential Bills_Yr 2_avg'!V$61,Input!$C$27:$AL$27,0))</f>
        <v>53.02</v>
      </c>
      <c r="Z62" s="16"/>
      <c r="AA62" s="17"/>
      <c r="AB62" s="18">
        <f>INDEX(Input!$C$28:$AL$42,MATCH('Residential Bills_Yr 2_avg'!$B$54,Input!$A$28:$A$42,0),MATCH('Residential Bills_Yr 2_avg'!Z$61,Input!$C$27:$AL$27,0))</f>
        <v>53.02</v>
      </c>
      <c r="AD62" s="16"/>
      <c r="AE62" s="17"/>
      <c r="AF62" s="18">
        <f>INDEX(Input!$C$28:$AL$42,MATCH('Residential Bills_Yr 2_avg'!$B$54,Input!$A$28:$A$42,0),MATCH('Residential Bills_Yr 2_avg'!AD$61,Input!$C$27:$AL$27,0))</f>
        <v>53.02</v>
      </c>
      <c r="AH62" s="16"/>
      <c r="AI62" s="17"/>
      <c r="AJ62" s="18">
        <f>INDEX(Input!$C$28:$AL$42,MATCH('Residential Bills_Yr 2_avg'!$B$54,Input!$A$28:$A$42,0),MATCH('Residential Bills_Yr 2_avg'!AH$61,Input!$C$27:$AL$27,0))</f>
        <v>53.02</v>
      </c>
      <c r="AL62" s="16"/>
      <c r="AM62" s="17"/>
      <c r="AN62" s="18">
        <f>INDEX(Input!$C$28:$AL$42,MATCH('Residential Bills_Yr 2_avg'!$B$54,Input!$A$28:$A$42,0),MATCH('Residential Bills_Yr 2_avg'!AL$61,Input!$C$27:$AL$27,0))</f>
        <v>53.02</v>
      </c>
      <c r="AP62" s="16"/>
      <c r="AQ62" s="17"/>
      <c r="AR62" s="18">
        <f>INDEX(Input!$C$28:$AL$42,MATCH('Residential Bills_Yr 2_avg'!$B$54,Input!$A$28:$A$42,0),MATCH('Residential Bills_Yr 2_avg'!AP$61,Input!$C$27:$AL$27,0))</f>
        <v>53.02</v>
      </c>
      <c r="AS62" s="175"/>
      <c r="AT62" s="16"/>
      <c r="AU62" s="17"/>
      <c r="AV62" s="18">
        <f>INDEX(Input!$C$28:$AL$42,MATCH('Residential Bills_Yr 2_avg'!$B$54,Input!$A$28:$A$42,0),MATCH('Residential Bills_Yr 2_avg'!AT$61,Input!$C$27:$AL$27,0))</f>
        <v>53.02</v>
      </c>
    </row>
    <row r="63" spans="1:48" x14ac:dyDescent="0.55000000000000004">
      <c r="B63" s="16"/>
      <c r="C63" s="17"/>
      <c r="D63" s="191"/>
      <c r="F63" s="16"/>
      <c r="G63" s="17"/>
      <c r="H63" s="191"/>
      <c r="J63" s="16"/>
      <c r="K63" s="17"/>
      <c r="L63" s="191"/>
      <c r="N63" s="16"/>
      <c r="O63" s="17"/>
      <c r="P63" s="19"/>
      <c r="R63" s="16"/>
      <c r="S63" s="17"/>
      <c r="T63" s="19"/>
      <c r="V63" s="16"/>
      <c r="W63" s="17"/>
      <c r="X63" s="19"/>
      <c r="Z63" s="16"/>
      <c r="AA63" s="17"/>
      <c r="AB63" s="19"/>
      <c r="AD63" s="16"/>
      <c r="AE63" s="17"/>
      <c r="AF63" s="19"/>
      <c r="AH63" s="16"/>
      <c r="AI63" s="17"/>
      <c r="AJ63" s="19"/>
      <c r="AL63" s="16"/>
      <c r="AM63" s="17"/>
      <c r="AN63" s="19"/>
      <c r="AP63" s="16"/>
      <c r="AQ63" s="17"/>
      <c r="AR63" s="19"/>
      <c r="AS63" s="17"/>
      <c r="AT63" s="16"/>
      <c r="AU63" s="17"/>
      <c r="AV63" s="19"/>
    </row>
    <row r="64" spans="1:48" ht="16.5" customHeight="1" x14ac:dyDescent="0.55000000000000004">
      <c r="A64" s="1" t="s">
        <v>33</v>
      </c>
      <c r="B64" s="20" t="s">
        <v>29</v>
      </c>
      <c r="C64" s="21" t="s">
        <v>7</v>
      </c>
      <c r="D64" s="192" t="s">
        <v>30</v>
      </c>
      <c r="F64" s="20" t="s">
        <v>29</v>
      </c>
      <c r="G64" s="21" t="s">
        <v>7</v>
      </c>
      <c r="H64" s="192" t="s">
        <v>30</v>
      </c>
      <c r="J64" s="20" t="s">
        <v>29</v>
      </c>
      <c r="K64" s="21" t="s">
        <v>7</v>
      </c>
      <c r="L64" s="192" t="s">
        <v>30</v>
      </c>
      <c r="N64" s="20" t="s">
        <v>29</v>
      </c>
      <c r="O64" s="21" t="s">
        <v>7</v>
      </c>
      <c r="P64" s="22" t="s">
        <v>30</v>
      </c>
      <c r="R64" s="20" t="s">
        <v>29</v>
      </c>
      <c r="S64" s="21" t="s">
        <v>7</v>
      </c>
      <c r="T64" s="22" t="s">
        <v>30</v>
      </c>
      <c r="V64" s="20" t="s">
        <v>29</v>
      </c>
      <c r="W64" s="21" t="s">
        <v>7</v>
      </c>
      <c r="X64" s="22" t="s">
        <v>30</v>
      </c>
      <c r="Z64" s="20" t="s">
        <v>29</v>
      </c>
      <c r="AA64" s="21" t="s">
        <v>7</v>
      </c>
      <c r="AB64" s="22" t="s">
        <v>30</v>
      </c>
      <c r="AD64" s="20" t="s">
        <v>29</v>
      </c>
      <c r="AE64" s="21" t="s">
        <v>7</v>
      </c>
      <c r="AF64" s="22" t="s">
        <v>30</v>
      </c>
      <c r="AH64" s="20" t="s">
        <v>29</v>
      </c>
      <c r="AI64" s="21" t="s">
        <v>7</v>
      </c>
      <c r="AJ64" s="22" t="s">
        <v>30</v>
      </c>
      <c r="AL64" s="20" t="s">
        <v>29</v>
      </c>
      <c r="AM64" s="21" t="s">
        <v>7</v>
      </c>
      <c r="AN64" s="22" t="s">
        <v>30</v>
      </c>
      <c r="AP64" s="20" t="s">
        <v>29</v>
      </c>
      <c r="AQ64" s="21" t="s">
        <v>7</v>
      </c>
      <c r="AR64" s="22" t="s">
        <v>30</v>
      </c>
      <c r="AS64" s="170"/>
      <c r="AT64" s="20" t="s">
        <v>29</v>
      </c>
      <c r="AU64" s="21" t="s">
        <v>7</v>
      </c>
      <c r="AV64" s="22" t="s">
        <v>30</v>
      </c>
    </row>
    <row r="65" spans="1:48" x14ac:dyDescent="0.55000000000000004">
      <c r="A65" t="str">
        <f>A17</f>
        <v>Tier 1</v>
      </c>
      <c r="B65" s="23">
        <f>INDEX(Input!$C$21:$AL$25,MATCH('Residential Bills_Yr 2_avg'!$A65,Input!$A$21:$A$25,0),MATCH('Residential Bills_Yr 2_avg'!B$61,Input!$C$20:$AL$20,0))</f>
        <v>4.1460999999999997</v>
      </c>
      <c r="C65" s="24">
        <f>IF($B$55&gt;Input!F94,Input!F94,'Residential Bills_Yr 2_avg'!$B$55)</f>
        <v>6</v>
      </c>
      <c r="D65" s="193">
        <f>ROUND(IFERROR(B65*C65," "),2)</f>
        <v>24.88</v>
      </c>
      <c r="F65" s="23">
        <f>INDEX(Input!$C$21:$AL$25,MATCH('Residential Bills_Yr 2_avg'!$A65,Input!$A$21:$A$25,0),MATCH('Residential Bills_Yr 2_avg'!F$61,Input!$C$20:$AL$20,0))</f>
        <v>4.1460999999999997</v>
      </c>
      <c r="G65" s="24">
        <f>IF($B$55&gt;Input!G94,Input!G94,'Residential Bills_Yr 2_avg'!$B$55)</f>
        <v>6</v>
      </c>
      <c r="H65" s="193">
        <f>ROUND(IFERROR(F65*G65," "),2)</f>
        <v>24.88</v>
      </c>
      <c r="J65" s="23">
        <f>INDEX(Input!$C$21:$AL$25,MATCH('Residential Bills_Yr 2_avg'!$A65,Input!$A$21:$A$25,0),MATCH('Residential Bills_Yr 2_avg'!J$61,Input!$C$20:$AL$20,0))</f>
        <v>4.1460999999999997</v>
      </c>
      <c r="K65" s="24">
        <f>IF($B$55&gt;Input!H94,Input!H94,'Residential Bills_Yr 2_avg'!$B$55)</f>
        <v>6</v>
      </c>
      <c r="L65" s="193">
        <f>ROUND(IFERROR(J65*K65," "),2)</f>
        <v>24.88</v>
      </c>
      <c r="N65" s="23">
        <f>INDEX(Input!$C$21:$AL$25,MATCH('Residential Bills_Yr 2_avg'!$A65,Input!$A$21:$A$25,0),MATCH('Residential Bills_Yr 2_avg'!N$61,Input!$C$20:$AL$20,0))</f>
        <v>4.1460999999999997</v>
      </c>
      <c r="O65" s="24">
        <f>IF($B$55&gt;Input!I94,Input!I94,'Residential Bills_Yr 2_avg'!$B$55)</f>
        <v>6</v>
      </c>
      <c r="P65" s="193">
        <f>ROUND(IFERROR(N65*O65," "),2)</f>
        <v>24.88</v>
      </c>
      <c r="R65" s="23">
        <f>INDEX(Input!$C$21:$AL$25,MATCH('Residential Bills_Yr 2_avg'!$A65,Input!$A$21:$A$25,0),MATCH('Residential Bills_Yr 2_avg'!R$61,Input!$C$20:$AL$20,0))</f>
        <v>4.1460999999999997</v>
      </c>
      <c r="S65" s="24">
        <f>IF($B$55&gt;Input!J94,Input!J94,'Residential Bills_Yr 2_avg'!$B$55)</f>
        <v>6</v>
      </c>
      <c r="T65" s="193">
        <f>ROUND(IFERROR(R65*S65," "),2)</f>
        <v>24.88</v>
      </c>
      <c r="V65" s="23">
        <f>INDEX(Input!$C$21:$AL$25,MATCH('Residential Bills_Yr 2_avg'!$A65,Input!$A$21:$A$25,0),MATCH('Residential Bills_Yr 2_avg'!V$61,Input!$C$20:$AL$20,0))</f>
        <v>4.1460999999999997</v>
      </c>
      <c r="W65" s="24">
        <f>IF($B$55&gt;Input!K94,Input!K94,'Residential Bills_Yr 2_avg'!$B$55)</f>
        <v>6</v>
      </c>
      <c r="X65" s="193">
        <f>ROUND(IFERROR(V65*W65," "),2)</f>
        <v>24.88</v>
      </c>
      <c r="Z65" s="23">
        <f>INDEX(Input!$C$21:$AL$25,MATCH('Residential Bills_Yr 2_avg'!$A65,Input!$A$21:$A$25,0),MATCH('Residential Bills_Yr 2_avg'!Z$61,Input!$C$20:$AL$20,0))</f>
        <v>4.1460999999999997</v>
      </c>
      <c r="AA65" s="24">
        <f>IF($B$55&gt;Input!L94,Input!L94,'Residential Bills_Yr 2_avg'!$B$55)</f>
        <v>6</v>
      </c>
      <c r="AB65" s="193">
        <f>ROUND(IFERROR(Z65*AA65," "),2)</f>
        <v>24.88</v>
      </c>
      <c r="AD65" s="23">
        <f>INDEX(Input!$C$21:$AL$25,MATCH('Residential Bills_Yr 2_avg'!$A65,Input!$A$21:$A$25,0),MATCH('Residential Bills_Yr 2_avg'!AD$61,Input!$C$20:$AL$20,0))</f>
        <v>4.1460999999999997</v>
      </c>
      <c r="AE65" s="24">
        <f>IF($B$55&gt;Input!M94,Input!M94,'Residential Bills_Yr 2_avg'!$B$55)</f>
        <v>6</v>
      </c>
      <c r="AF65" s="193">
        <f>ROUND(IFERROR(AD65*AE65," "),2)</f>
        <v>24.88</v>
      </c>
      <c r="AH65" s="23">
        <f>INDEX(Input!$C$21:$AL$25,MATCH('Residential Bills_Yr 2_avg'!$A65,Input!$A$21:$A$25,0),MATCH('Residential Bills_Yr 2_avg'!AH$61,Input!$C$20:$AL$20,0))</f>
        <v>4.1460999999999997</v>
      </c>
      <c r="AI65" s="24">
        <f>IF($B$55&gt;Input!N94,Input!N94,'Residential Bills_Yr 2_avg'!$B$55)</f>
        <v>6</v>
      </c>
      <c r="AJ65" s="193">
        <f>ROUND(IFERROR(AH65*AI65," "),2)</f>
        <v>24.88</v>
      </c>
      <c r="AL65" s="23">
        <f>INDEX(Input!$C$21:$AL$25,MATCH('Residential Bills_Yr 2_avg'!$A65,Input!$A$21:$A$25,0),MATCH('Residential Bills_Yr 2_avg'!AL$61,Input!$C$20:$AL$20,0))</f>
        <v>4.1460999999999997</v>
      </c>
      <c r="AM65" s="24">
        <f>IF($B$55&gt;Input!O94,Input!O94,'Residential Bills_Yr 2_avg'!$B$55)</f>
        <v>6</v>
      </c>
      <c r="AN65" s="193">
        <f>ROUND(IFERROR(AL65*AM65," "),2)</f>
        <v>24.88</v>
      </c>
      <c r="AP65" s="23">
        <f>INDEX(Input!$C$21:$AL$25,MATCH('Residential Bills_Yr 2_avg'!$A65,Input!$A$21:$A$25,0),MATCH('Residential Bills_Yr 2_avg'!AP$61,Input!$C$20:$AL$20,0))</f>
        <v>4.1460999999999997</v>
      </c>
      <c r="AQ65" s="24">
        <f>IF($B$55&gt;Input!P94,Input!P94,'Residential Bills_Yr 2_avg'!$B$55)</f>
        <v>6</v>
      </c>
      <c r="AR65" s="193">
        <f>ROUND(IFERROR(AP65*AQ65," "),2)</f>
        <v>24.88</v>
      </c>
      <c r="AS65" s="30"/>
      <c r="AT65" s="23">
        <f>INDEX(Input!$C$21:$AL$25,MATCH('Residential Bills_Yr 2_avg'!$A65,Input!$A$21:$A$25,0),MATCH('Residential Bills_Yr 2_avg'!AT$61,Input!$C$20:$AL$20,0))</f>
        <v>4.1460999999999997</v>
      </c>
      <c r="AU65" s="24">
        <f>IF($B$55&gt;Input!Q94,Input!Q94,'Residential Bills_Yr 2_avg'!$B$55)</f>
        <v>6</v>
      </c>
      <c r="AV65" s="193">
        <f>ROUND(IFERROR(AT65*AU65," "),2)</f>
        <v>24.88</v>
      </c>
    </row>
    <row r="66" spans="1:48" x14ac:dyDescent="0.55000000000000004">
      <c r="A66" t="str">
        <f>A18</f>
        <v>Tier 2</v>
      </c>
      <c r="B66" s="23">
        <f>INDEX(Input!$C$21:$AL$25,MATCH('Residential Bills_Yr 2_avg'!$A66,Input!$A$21:$A$25,0),MATCH('Residential Bills_Yr 2_avg'!B$61,Input!$C$20:$AL$20,0))</f>
        <v>5.9352</v>
      </c>
      <c r="C66" s="24">
        <f>IF(($B$55-C65)&gt;Input!F95,Input!F95,($B$55-C65))</f>
        <v>5</v>
      </c>
      <c r="D66" s="193">
        <f>ROUND(IFERROR(B66*C66," "),2)</f>
        <v>29.68</v>
      </c>
      <c r="F66" s="23">
        <f>INDEX(Input!$C$21:$AL$25,MATCH('Residential Bills_Yr 2_avg'!$A66,Input!$A$21:$A$25,0),MATCH('Residential Bills_Yr 2_avg'!F$61,Input!$C$20:$AL$20,0))</f>
        <v>5.9352</v>
      </c>
      <c r="G66" s="24">
        <f>IF(($B$55-G65)&gt;Input!G95,Input!G95,($B$55-G65))</f>
        <v>5</v>
      </c>
      <c r="H66" s="193">
        <f>ROUND(IFERROR(F66*G66," "),2)</f>
        <v>29.68</v>
      </c>
      <c r="J66" s="23">
        <f>INDEX(Input!$C$21:$AL$25,MATCH('Residential Bills_Yr 2_avg'!$A66,Input!$A$21:$A$25,0),MATCH('Residential Bills_Yr 2_avg'!J$61,Input!$C$20:$AL$20,0))</f>
        <v>5.9352</v>
      </c>
      <c r="K66" s="24">
        <f>IF(($B$55-K65)&gt;Input!H95,Input!H95,($B$55-K65))</f>
        <v>5</v>
      </c>
      <c r="L66" s="193">
        <f>ROUND(IFERROR(J66*K66," "),2)</f>
        <v>29.68</v>
      </c>
      <c r="N66" s="23">
        <f>INDEX(Input!$C$21:$AL$25,MATCH('Residential Bills_Yr 2_avg'!$A66,Input!$A$21:$A$25,0),MATCH('Residential Bills_Yr 2_avg'!N$61,Input!$C$20:$AL$20,0))</f>
        <v>5.9352</v>
      </c>
      <c r="O66" s="24">
        <f>IF(($B$55-O65)&gt;Input!I95,Input!I95,($B$55-O65))</f>
        <v>5</v>
      </c>
      <c r="P66" s="193">
        <f>ROUND(IFERROR(N66*O66," "),2)</f>
        <v>29.68</v>
      </c>
      <c r="R66" s="23">
        <f>INDEX(Input!$C$21:$AL$25,MATCH('Residential Bills_Yr 2_avg'!$A66,Input!$A$21:$A$25,0),MATCH('Residential Bills_Yr 2_avg'!R$61,Input!$C$20:$AL$20,0))</f>
        <v>5.9352</v>
      </c>
      <c r="S66" s="24">
        <f>IF(($B$55-S65)&gt;Input!J95,Input!I95,($B$55-S65))</f>
        <v>5</v>
      </c>
      <c r="T66" s="193">
        <f>ROUND(IFERROR(R66*S66," "),2)</f>
        <v>29.68</v>
      </c>
      <c r="V66" s="23">
        <f>INDEX(Input!$C$21:$AL$25,MATCH('Residential Bills_Yr 2_avg'!$A66,Input!$A$21:$A$25,0),MATCH('Residential Bills_Yr 2_avg'!V$61,Input!$C$20:$AL$20,0))</f>
        <v>5.9352</v>
      </c>
      <c r="W66" s="24">
        <f>IF(($B$55-W65)&gt;Input!K95,Input!K95,($B$55-S65))</f>
        <v>5</v>
      </c>
      <c r="X66" s="193">
        <f>ROUND(IFERROR(V66*W66," "),2)</f>
        <v>29.68</v>
      </c>
      <c r="Z66" s="23">
        <f>INDEX(Input!$C$21:$AL$25,MATCH('Residential Bills_Yr 2_avg'!$A66,Input!$A$21:$A$25,0),MATCH('Residential Bills_Yr 2_avg'!Z$61,Input!$C$20:$AL$20,0))</f>
        <v>5.9352</v>
      </c>
      <c r="AA66" s="24">
        <f>IF(($B$55-AA65)&gt;Input!L95,Input!L95,($B$55-AA65))</f>
        <v>5</v>
      </c>
      <c r="AB66" s="193">
        <f>ROUND(IFERROR(Z66*AA66," "),2)</f>
        <v>29.68</v>
      </c>
      <c r="AD66" s="23">
        <f>INDEX(Input!$C$21:$AL$25,MATCH('Residential Bills_Yr 2_avg'!$A66,Input!$A$21:$A$25,0),MATCH('Residential Bills_Yr 2_avg'!AD$61,Input!$C$20:$AL$20,0))</f>
        <v>5.9352</v>
      </c>
      <c r="AE66" s="24">
        <f>IF(($B$55-AE65)&gt;Input!M95,Input!M95,($B$55-AE65))</f>
        <v>5</v>
      </c>
      <c r="AF66" s="193">
        <f>ROUND(IFERROR(AD66*AE66," "),2)</f>
        <v>29.68</v>
      </c>
      <c r="AH66" s="23">
        <f>INDEX(Input!$C$21:$AL$25,MATCH('Residential Bills_Yr 2_avg'!$A66,Input!$A$21:$A$25,0),MATCH('Residential Bills_Yr 2_avg'!AH$61,Input!$C$20:$AL$20,0))</f>
        <v>5.9352</v>
      </c>
      <c r="AI66" s="24">
        <f>IF(($B$55-AI65)&gt;Input!N95,Input!N95,($B$55-AI65))</f>
        <v>5</v>
      </c>
      <c r="AJ66" s="193">
        <f>ROUND(IFERROR(AH66*AI66," "),2)</f>
        <v>29.68</v>
      </c>
      <c r="AL66" s="23">
        <f>INDEX(Input!$C$21:$AL$25,MATCH('Residential Bills_Yr 2_avg'!$A66,Input!$A$21:$A$25,0),MATCH('Residential Bills_Yr 2_avg'!AL$61,Input!$C$20:$AL$20,0))</f>
        <v>5.9352</v>
      </c>
      <c r="AM66" s="24">
        <f>IF(($B$55-AM65)&gt;Input!O95,Input!O95,($B$55-AM65))</f>
        <v>5</v>
      </c>
      <c r="AN66" s="193">
        <f>ROUND(IFERROR(AL66*AM66," "),2)</f>
        <v>29.68</v>
      </c>
      <c r="AP66" s="23">
        <f>INDEX(Input!$C$21:$AL$25,MATCH('Residential Bills_Yr 2_avg'!$A66,Input!$A$21:$A$25,0),MATCH('Residential Bills_Yr 2_avg'!AP$61,Input!$C$20:$AL$20,0))</f>
        <v>5.9352</v>
      </c>
      <c r="AQ66" s="24">
        <f>IF(($B$55-AQ65)&gt;Input!P95,Input!P95,($B$55-AQ65))</f>
        <v>5</v>
      </c>
      <c r="AR66" s="193">
        <f>ROUND(IFERROR(AP66*AQ66," "),2)</f>
        <v>29.68</v>
      </c>
      <c r="AS66" s="30"/>
      <c r="AT66" s="23">
        <f>INDEX(Input!$C$21:$AL$25,MATCH('Residential Bills_Yr 2_avg'!$A66,Input!$A$21:$A$25,0),MATCH('Residential Bills_Yr 2_avg'!AT$61,Input!$C$20:$AL$20,0))</f>
        <v>5.9352</v>
      </c>
      <c r="AU66" s="24">
        <f>IF(($B$55-AU65)&gt;Input!Q95,Input!Q95,($B$55-AU65))</f>
        <v>5</v>
      </c>
      <c r="AV66" s="193">
        <f>ROUND(IFERROR(AT66*AU66," "),2)</f>
        <v>29.68</v>
      </c>
    </row>
    <row r="67" spans="1:48" x14ac:dyDescent="0.55000000000000004">
      <c r="A67" t="str">
        <f>A19</f>
        <v>Tier 3</v>
      </c>
      <c r="B67" s="23">
        <f>INDEX(Input!$C$21:$AL$25,MATCH('Residential Bills_Yr 2_avg'!$A67,Input!$A$21:$A$25,0),MATCH('Residential Bills_Yr 2_avg'!B$61,Input!$C$20:$AL$20,0))</f>
        <v>9.1687999999999992</v>
      </c>
      <c r="C67" s="24">
        <f>IF(OR(Input!F128="Tier 4",Input!F128="Tier 5"),IF(('Residential Bills_Yr 2_avg'!$B$55-'Residential Bills_Yr 2_avg'!C65-'Residential Bills_Yr 2_avg'!C66)&gt;Input!F89,Input!F89,('Residential Bills_Yr 2_avg'!$B$55-'Residential Bills_Yr 2_avg'!C65-'Residential Bills_Yr 2_avg'!C66)),('Residential Bills_Yr 2_avg'!$B$55-'Residential Bills_Yr 2_avg'!C65-'Residential Bills_Yr 2_avg'!C66))</f>
        <v>0</v>
      </c>
      <c r="D67" s="193">
        <f>ROUND(IFERROR(B67*C67," "),2)</f>
        <v>0</v>
      </c>
      <c r="F67" s="23">
        <f>INDEX(Input!$C$21:$AL$25,MATCH('Residential Bills_Yr 2_avg'!$A67,Input!$A$21:$A$25,0),MATCH('Residential Bills_Yr 2_avg'!F$61,Input!$C$20:$AL$20,0))</f>
        <v>9.1687999999999992</v>
      </c>
      <c r="G67" s="24">
        <f>IF(OR(Input!J128="Tier 4",Input!J128="Tier 5"),IF(('Residential Bills_Yr 2_avg'!$B$55-'Residential Bills_Yr 2_avg'!G65-'Residential Bills_Yr 2_avg'!G66)&gt;Input!J89,Input!J89,('Residential Bills_Yr 2_avg'!$B$55-'Residential Bills_Yr 2_avg'!G65-'Residential Bills_Yr 2_avg'!G66)),('Residential Bills_Yr 2_avg'!$B$55-'Residential Bills_Yr 2_avg'!G65-'Residential Bills_Yr 2_avg'!G66))</f>
        <v>0</v>
      </c>
      <c r="H67" s="193">
        <f>ROUND(IFERROR(F67*G67," "),2)</f>
        <v>0</v>
      </c>
      <c r="J67" s="23">
        <f>INDEX(Input!$C$21:$AL$25,MATCH('Residential Bills_Yr 2_avg'!$A67,Input!$A$21:$A$25,0),MATCH('Residential Bills_Yr 2_avg'!J$61,Input!$C$20:$AL$20,0))</f>
        <v>9.1687999999999992</v>
      </c>
      <c r="K67" s="24">
        <f>IF(OR(Input!H128="Tier 4",Input!H128="Tier 5"),IF(('Residential Bills_Yr 2_avg'!$B$55-'Residential Bills_Yr 2_avg'!K65-'Residential Bills_Yr 2_avg'!K66)&gt;Input!H89,Input!H89,('Residential Bills_Yr 2_avg'!$B$55-'Residential Bills_Yr 2_avg'!K65-'Residential Bills_Yr 2_avg'!K66)),('Residential Bills_Yr 2_avg'!$B$55-'Residential Bills_Yr 2_avg'!K65-'Residential Bills_Yr 2_avg'!K66))</f>
        <v>0</v>
      </c>
      <c r="L67" s="193">
        <f>ROUND(IFERROR(J67*K67," "),2)</f>
        <v>0</v>
      </c>
      <c r="N67" s="23">
        <f>INDEX(Input!$C$21:$AL$25,MATCH('Residential Bills_Yr 2_avg'!$A67,Input!$A$21:$A$25,0),MATCH('Residential Bills_Yr 2_avg'!N$61,Input!$C$20:$AL$20,0))</f>
        <v>9.1687999999999992</v>
      </c>
      <c r="O67" s="24">
        <f>IF(OR(Input!I128="Tier 4",Input!I128="Tier 5"),IF(('Residential Bills_Yr 2_avg'!$B$55-'Residential Bills_Yr 2_avg'!O65-'Residential Bills_Yr 2_avg'!O66)&gt;Input!I89,Input!I89,('Residential Bills_Yr 2_avg'!$B$55-'Residential Bills_Yr 2_avg'!O65-'Residential Bills_Yr 2_avg'!O66)),('Residential Bills_Yr 2_avg'!$B$55-'Residential Bills_Yr 2_avg'!O65-'Residential Bills_Yr 2_avg'!O66))</f>
        <v>0</v>
      </c>
      <c r="P67" s="193">
        <f>ROUND(IFERROR(N67*O67," "),2)</f>
        <v>0</v>
      </c>
      <c r="R67" s="23">
        <f>INDEX(Input!$C$21:$AL$25,MATCH('Residential Bills_Yr 2_avg'!$A67,Input!$A$21:$A$25,0),MATCH('Residential Bills_Yr 2_avg'!R$61,Input!$C$20:$AL$20,0))</f>
        <v>9.1687999999999992</v>
      </c>
      <c r="S67" s="24">
        <f>IF(OR(Input!J128="Tier 4",Input!J128="Tier 5"),IF(('Residential Bills_Yr 2_avg'!$B$55-'Residential Bills_Yr 2_avg'!S65-'Residential Bills_Yr 2_avg'!S66)&gt;Input!J89,Input!J89,('Residential Bills_Yr 2_avg'!$B$55-'Residential Bills_Yr 2_avg'!S65-'Residential Bills_Yr 2_avg'!S66)),('Residential Bills_Yr 2_avg'!$B$55-'Residential Bills_Yr 2_avg'!S65-'Residential Bills_Yr 2_avg'!S66))</f>
        <v>0</v>
      </c>
      <c r="T67" s="193">
        <f>ROUND(IFERROR(R67*S67," "),2)</f>
        <v>0</v>
      </c>
      <c r="V67" s="23">
        <f>INDEX(Input!$C$21:$AL$25,MATCH('Residential Bills_Yr 2_avg'!$A67,Input!$A$21:$A$25,0),MATCH('Residential Bills_Yr 2_avg'!V$61,Input!$C$20:$AL$20,0))</f>
        <v>9.1687999999999992</v>
      </c>
      <c r="W67" s="24">
        <f>IF(OR(Input!K128="Tier 4",Input!K128="Tier 5"),IF(('Residential Bills_Yr 2_avg'!$B$55-'Residential Bills_Yr 2_avg'!W65-'Residential Bills_Yr 2_avg'!W66)&gt;Input!K89,Input!K89,('Residential Bills_Yr 2_avg'!$B$55-'Residential Bills_Yr 2_avg'!W65-'Residential Bills_Yr 2_avg'!W66)),('Residential Bills_Yr 2_avg'!$B$55-'Residential Bills_Yr 2_avg'!W65-'Residential Bills_Yr 2_avg'!W66))</f>
        <v>0</v>
      </c>
      <c r="X67" s="193">
        <f>ROUND(IFERROR(V67*W67," "),2)</f>
        <v>0</v>
      </c>
      <c r="Z67" s="23">
        <f>INDEX(Input!$C$21:$AL$25,MATCH('Residential Bills_Yr 2_avg'!$A67,Input!$A$21:$A$25,0),MATCH('Residential Bills_Yr 2_avg'!Z$61,Input!$C$20:$AL$20,0))</f>
        <v>9.1687999999999992</v>
      </c>
      <c r="AA67" s="24">
        <f>IF(OR(Input!L128="Tier 4",Input!L128="Tier 5"),IF(('Residential Bills_Yr 2_avg'!$B$55-'Residential Bills_Yr 2_avg'!AA65-'Residential Bills_Yr 2_avg'!AA66)&gt;Input!L89,Input!L89,('Residential Bills_Yr 2_avg'!$B$55-'Residential Bills_Yr 2_avg'!AA65-'Residential Bills_Yr 2_avg'!AA66)),('Residential Bills_Yr 2_avg'!$B$55-'Residential Bills_Yr 2_avg'!AA65-'Residential Bills_Yr 2_avg'!AA66))</f>
        <v>0</v>
      </c>
      <c r="AB67" s="193">
        <f>ROUND(IFERROR(Z67*AA67," "),2)</f>
        <v>0</v>
      </c>
      <c r="AD67" s="23">
        <f>INDEX(Input!$C$21:$AL$25,MATCH('Residential Bills_Yr 2_avg'!$A67,Input!$A$21:$A$25,0),MATCH('Residential Bills_Yr 2_avg'!AD$61,Input!$C$20:$AL$20,0))</f>
        <v>9.1687999999999992</v>
      </c>
      <c r="AE67" s="24">
        <f>IF(OR(Input!M128="Tier 4",Input!M128="Tier 5"),IF(('Residential Bills_Yr 2_avg'!$B$55-'Residential Bills_Yr 2_avg'!AE65-'Residential Bills_Yr 2_avg'!AE66)&gt;Input!M89,Input!M89,('Residential Bills_Yr 2_avg'!$B$55-'Residential Bills_Yr 2_avg'!AE65-'Residential Bills_Yr 2_avg'!AE66)),('Residential Bills_Yr 2_avg'!$B$55-'Residential Bills_Yr 2_avg'!AE65-'Residential Bills_Yr 2_avg'!AE66))</f>
        <v>0</v>
      </c>
      <c r="AF67" s="193">
        <f>ROUND(IFERROR(AD67*AE67," "),2)</f>
        <v>0</v>
      </c>
      <c r="AH67" s="23">
        <f>INDEX(Input!$C$21:$AL$25,MATCH('Residential Bills_Yr 2_avg'!$A67,Input!$A$21:$A$25,0),MATCH('Residential Bills_Yr 2_avg'!AH$61,Input!$C$20:$AL$20,0))</f>
        <v>9.1687999999999992</v>
      </c>
      <c r="AI67" s="24">
        <f>IF(OR(Input!N128="Tier 4",Input!N128="Tier 5"),IF(('Residential Bills_Yr 2_avg'!$B$55-'Residential Bills_Yr 2_avg'!AI65-'Residential Bills_Yr 2_avg'!AI66)&gt;Input!N89,Input!N89,('Residential Bills_Yr 2_avg'!$B$55-'Residential Bills_Yr 2_avg'!AI65-'Residential Bills_Yr 2_avg'!AI66)),('Residential Bills_Yr 2_avg'!$B$55-'Residential Bills_Yr 2_avg'!AI65-'Residential Bills_Yr 2_avg'!AI66))</f>
        <v>0</v>
      </c>
      <c r="AJ67" s="193">
        <f>ROUND(IFERROR(AH67*AI67," "),2)</f>
        <v>0</v>
      </c>
      <c r="AL67" s="23">
        <f>INDEX(Input!$C$21:$AL$25,MATCH('Residential Bills_Yr 2_avg'!$A67,Input!$A$21:$A$25,0),MATCH('Residential Bills_Yr 2_avg'!AL$61,Input!$C$20:$AL$20,0))</f>
        <v>9.1687999999999992</v>
      </c>
      <c r="AM67" s="24">
        <f>IF(OR(Input!O128="Tier 4",Input!O128="Tier 5"),IF(('Residential Bills_Yr 2_avg'!$B$55-'Residential Bills_Yr 2_avg'!AM65-'Residential Bills_Yr 2_avg'!AM66)&gt;Input!O89,Input!O89,('Residential Bills_Yr 2_avg'!$B$55-'Residential Bills_Yr 2_avg'!AM65-'Residential Bills_Yr 2_avg'!AM66)),('Residential Bills_Yr 2_avg'!$B$55-'Residential Bills_Yr 2_avg'!AM65-'Residential Bills_Yr 2_avg'!AM66))</f>
        <v>0</v>
      </c>
      <c r="AN67" s="193">
        <f>ROUND(IFERROR(AL67*AM67," "),2)</f>
        <v>0</v>
      </c>
      <c r="AP67" s="23">
        <f>INDEX(Input!$C$21:$AL$25,MATCH('Residential Bills_Yr 2_avg'!$A67,Input!$A$21:$A$25,0),MATCH('Residential Bills_Yr 2_avg'!AP$61,Input!$C$20:$AL$20,0))</f>
        <v>9.1687999999999992</v>
      </c>
      <c r="AQ67" s="24">
        <f>IF(OR(Input!P128="Tier 4",Input!P128="Tier 5"),IF(('Residential Bills_Yr 2_avg'!$B$55-'Residential Bills_Yr 2_avg'!AQ65-'Residential Bills_Yr 2_avg'!AQ66)&gt;Input!P89,Input!P89,('Residential Bills_Yr 2_avg'!$B$55-'Residential Bills_Yr 2_avg'!AQ65-'Residential Bills_Yr 2_avg'!AQ66)),('Residential Bills_Yr 2_avg'!$B$55-'Residential Bills_Yr 2_avg'!AQ65-'Residential Bills_Yr 2_avg'!AQ66))</f>
        <v>0</v>
      </c>
      <c r="AR67" s="193">
        <f>ROUND(IFERROR(AP67*AQ67," "),2)</f>
        <v>0</v>
      </c>
      <c r="AS67" s="30"/>
      <c r="AT67" s="23">
        <f>INDEX(Input!$C$21:$AL$25,MATCH('Residential Bills_Yr 2_avg'!$A67,Input!$A$21:$A$25,0),MATCH('Residential Bills_Yr 2_avg'!AT$61,Input!$C$20:$AL$20,0))</f>
        <v>9.1687999999999992</v>
      </c>
      <c r="AU67" s="24">
        <f>IF(OR(Input!Q128="Tier 4",Input!Q128="Tier 5"),IF(('Residential Bills_Yr 2_avg'!$B$55-'Residential Bills_Yr 2_avg'!AU65-'Residential Bills_Yr 2_avg'!AU66)&gt;Input!Q89,Input!Q89,('Residential Bills_Yr 2_avg'!$B$55-'Residential Bills_Yr 2_avg'!AU65-'Residential Bills_Yr 2_avg'!AU66)),('Residential Bills_Yr 2_avg'!$B$55-'Residential Bills_Yr 2_avg'!AU65-'Residential Bills_Yr 2_avg'!AU66))</f>
        <v>0</v>
      </c>
      <c r="AV67" s="193">
        <f>ROUND(IFERROR(AT67*AU67," "),2)</f>
        <v>0</v>
      </c>
    </row>
    <row r="68" spans="1:48" ht="14.5" hidden="1" customHeight="1" x14ac:dyDescent="0.55000000000000004">
      <c r="A68" t="str">
        <f>A20</f>
        <v>Tier 4</v>
      </c>
      <c r="B68" s="23">
        <f>INDEX(Input!$C$21:$AL$25,MATCH('Residential Bills_Yr 2_avg'!$A68,Input!$A$21:$A$25,0),MATCH('Residential Bills_Yr 2_avg'!B$61,Input!$C$20:$AL$20,0))</f>
        <v>0</v>
      </c>
      <c r="C68" s="24" t="str">
        <f>IF(Input!F128="Tier 4",($B$55-C65-C66-C67),IF(Input!F128="Tier 5",IF(('Residential Bills_Yr 2_avg'!$B$55-'Residential Bills_Yr 2_avg'!C65-'Residential Bills_Yr 2_avg'!C66-'Residential Bills_Yr 2_avg'!C67)&gt;Input!F133,Input!F133,('Residential Bills_Yr 2_avg'!$B$55-'Residential Bills_Yr 2_avg'!C65-'Residential Bills_Yr 2_avg'!C66-'Residential Bills_Yr 2_avg'!C67))," "))</f>
        <v xml:space="preserve"> </v>
      </c>
      <c r="D68" s="25" t="str">
        <f t="shared" ref="D68:D69" si="36">IFERROR(B68*C68," ")</f>
        <v xml:space="preserve"> </v>
      </c>
      <c r="F68" s="23">
        <f>INDEX(Input!$C$21:$AL$25,MATCH('Residential Bills_Yr 2_avg'!$A68,Input!$A$21:$A$25,0),MATCH('Residential Bills_Yr 2_avg'!F$61,Input!$C$20:$AL$20,0))</f>
        <v>0</v>
      </c>
      <c r="G68" s="24" t="str">
        <f>IF(Input!G128="Tier 4",($B$55-G65-G66-G67),IF(Input!G128="Tier 5",IF(('Residential Bills_Yr 2_avg'!$B$55-'Residential Bills_Yr 2_avg'!G65-'Residential Bills_Yr 2_avg'!G66-'Residential Bills_Yr 2_avg'!G67)&gt;Input!G133,Input!G133,('Residential Bills_Yr 2_avg'!$B$55-'Residential Bills_Yr 2_avg'!G65-'Residential Bills_Yr 2_avg'!G66-'Residential Bills_Yr 2_avg'!G67))," "))</f>
        <v xml:space="preserve"> </v>
      </c>
      <c r="H68" s="25" t="str">
        <f t="shared" ref="H68:H69" si="37">IFERROR(F68*G68," ")</f>
        <v xml:space="preserve"> </v>
      </c>
      <c r="J68" s="23">
        <f>INDEX(Input!$C$21:$AL$25,MATCH('Residential Bills_Yr 2_avg'!$A68,Input!$A$21:$A$25,0),MATCH('Residential Bills_Yr 2_avg'!J$61,Input!$C$20:$AL$20,0))</f>
        <v>0</v>
      </c>
      <c r="K68" s="24" t="str">
        <f>IF(Input!H128="Tier 4",($B$55-K65-K66-K67),IF(Input!H128="Tier 5",IF(('Residential Bills_Yr 2_avg'!$B$55-'Residential Bills_Yr 2_avg'!K65-'Residential Bills_Yr 2_avg'!K66-'Residential Bills_Yr 2_avg'!K67)&gt;Input!H133,Input!H133,('Residential Bills_Yr 2_avg'!$B$55-'Residential Bills_Yr 2_avg'!K65-'Residential Bills_Yr 2_avg'!K66-'Residential Bills_Yr 2_avg'!K67))," "))</f>
        <v xml:space="preserve"> </v>
      </c>
      <c r="L68" s="25" t="str">
        <f t="shared" ref="L68:L69" si="38">IFERROR(J68*K68," ")</f>
        <v xml:space="preserve"> </v>
      </c>
      <c r="N68" s="23">
        <f>INDEX(Input!$C$21:$AL$25,MATCH('Residential Bills_Yr 2_avg'!$A68,Input!$A$21:$A$25,0),MATCH('Residential Bills_Yr 2_avg'!N$61,Input!$C$20:$AL$20,0))</f>
        <v>0</v>
      </c>
      <c r="O68" s="24" t="str">
        <f>IF(Input!I128="Tier 4",($B$55-O65-O66-O67),IF(Input!I128="Tier 5",IF(('Residential Bills_Yr 2_avg'!$B$55-'Residential Bills_Yr 2_avg'!O65-'Residential Bills_Yr 2_avg'!O66-'Residential Bills_Yr 2_avg'!O67)&gt;Input!I133,Input!I133,('Residential Bills_Yr 2_avg'!$B$55-'Residential Bills_Yr 2_avg'!O65-'Residential Bills_Yr 2_avg'!O66-'Residential Bills_Yr 2_avg'!O67))," "))</f>
        <v xml:space="preserve"> </v>
      </c>
      <c r="P68" s="25" t="str">
        <f t="shared" ref="P68:P69" si="39">IFERROR(N68*O68," ")</f>
        <v xml:space="preserve"> </v>
      </c>
      <c r="R68" s="23">
        <f>INDEX(Input!$C$21:$AL$25,MATCH('Residential Bills_Yr 2_avg'!$A68,Input!$A$21:$A$25,0),MATCH('Residential Bills_Yr 2_avg'!R$61,Input!$C$20:$AL$20,0))</f>
        <v>0</v>
      </c>
      <c r="S68" s="24" t="str">
        <f>IF(Input!J128="Tier 4",($B$55-S65-S66-S67),IF(Input!J128="Tier 5",IF(('Residential Bills_Yr 2_avg'!$B$55-'Residential Bills_Yr 2_avg'!S65-'Residential Bills_Yr 2_avg'!S66-'Residential Bills_Yr 2_avg'!S67)&gt;Input!J133,Input!J133,('Residential Bills_Yr 2_avg'!$B$55-'Residential Bills_Yr 2_avg'!S65-'Residential Bills_Yr 2_avg'!S66-'Residential Bills_Yr 2_avg'!S67))," "))</f>
        <v xml:space="preserve"> </v>
      </c>
      <c r="T68" s="25" t="str">
        <f t="shared" ref="T68:T69" si="40">IFERROR(R68*S68," ")</f>
        <v xml:space="preserve"> </v>
      </c>
      <c r="V68" s="23">
        <f>INDEX(Input!$C$21:$AL$25,MATCH('Residential Bills_Yr 2_avg'!$A68,Input!$A$21:$A$25,0),MATCH('Residential Bills_Yr 2_avg'!V$61,Input!$C$20:$AL$20,0))</f>
        <v>0</v>
      </c>
      <c r="W68" s="24" t="str">
        <f>IF(Input!K128="Tier 4",($B$55-W65-W66-W67),IF(Input!K128="Tier 5",IF(('Residential Bills_Yr 2_avg'!$B$55-'Residential Bills_Yr 2_avg'!W65-'Residential Bills_Yr 2_avg'!W66-'Residential Bills_Yr 2_avg'!W67)&gt;Input!K133,Input!K133,('Residential Bills_Yr 2_avg'!$B$55-'Residential Bills_Yr 2_avg'!W65-'Residential Bills_Yr 2_avg'!W66-'Residential Bills_Yr 2_avg'!W67))," "))</f>
        <v xml:space="preserve"> </v>
      </c>
      <c r="X68" s="25" t="str">
        <f t="shared" ref="X68:X69" si="41">IFERROR(V68*W68," ")</f>
        <v xml:space="preserve"> </v>
      </c>
      <c r="Z68" s="23">
        <f>INDEX(Input!$C$21:$AL$25,MATCH('Residential Bills_Yr 2_avg'!$A68,Input!$A$21:$A$25,0),MATCH('Residential Bills_Yr 2_avg'!Z$61,Input!$C$20:$AL$20,0))</f>
        <v>0</v>
      </c>
      <c r="AA68" s="24" t="str">
        <f>IF(Input!L128="Tier 4",($B$55-AA65-AA66-AA67),IF(Input!L128="Tier 5",IF(('Residential Bills_Yr 2_avg'!$B$55-'Residential Bills_Yr 2_avg'!AA65-'Residential Bills_Yr 2_avg'!AA66-'Residential Bills_Yr 2_avg'!AA67)&gt;Input!L133,Input!L133,('Residential Bills_Yr 2_avg'!$B$55-'Residential Bills_Yr 2_avg'!AA65-'Residential Bills_Yr 2_avg'!AA66-'Residential Bills_Yr 2_avg'!AA67))," "))</f>
        <v xml:space="preserve"> </v>
      </c>
      <c r="AB68" s="25" t="str">
        <f t="shared" ref="AB68:AB69" si="42">IFERROR(Z68*AA68," ")</f>
        <v xml:space="preserve"> </v>
      </c>
      <c r="AD68" s="23">
        <f>INDEX(Input!$C$21:$AL$25,MATCH('Residential Bills_Yr 2_avg'!$A68,Input!$A$21:$A$25,0),MATCH('Residential Bills_Yr 2_avg'!AD$61,Input!$C$20:$AL$20,0))</f>
        <v>0</v>
      </c>
      <c r="AE68" s="24" t="str">
        <f>IF(Input!M128="Tier 4",($B$55-AE65-AE66-AE67),IF(Input!M128="Tier 5",IF(('Residential Bills_Yr 2_avg'!$B$55-'Residential Bills_Yr 2_avg'!AE65-'Residential Bills_Yr 2_avg'!AE66-'Residential Bills_Yr 2_avg'!AE67)&gt;Input!M133,Input!M133,('Residential Bills_Yr 2_avg'!$B$55-'Residential Bills_Yr 2_avg'!AE65-'Residential Bills_Yr 2_avg'!AE66-'Residential Bills_Yr 2_avg'!AE67))," "))</f>
        <v xml:space="preserve"> </v>
      </c>
      <c r="AF68" s="25" t="str">
        <f t="shared" ref="AF68:AF69" si="43">IFERROR(AD68*AE68," ")</f>
        <v xml:space="preserve"> </v>
      </c>
      <c r="AH68" s="23">
        <f>INDEX(Input!$C$21:$AL$25,MATCH('Residential Bills_Yr 2_avg'!$A68,Input!$A$21:$A$25,0),MATCH('Residential Bills_Yr 2_avg'!AH$61,Input!$C$20:$AL$20,0))</f>
        <v>0</v>
      </c>
      <c r="AI68" s="24" t="str">
        <f>IF(Input!N128="Tier 4",($B$55-AI65-AI66-AI67),IF(Input!N128="Tier 5",IF(('Residential Bills_Yr 2_avg'!$B$55-'Residential Bills_Yr 2_avg'!AI65-'Residential Bills_Yr 2_avg'!AI66-'Residential Bills_Yr 2_avg'!AI67)&gt;Input!N133,Input!N133,('Residential Bills_Yr 2_avg'!$B$55-'Residential Bills_Yr 2_avg'!AI65-'Residential Bills_Yr 2_avg'!AI66-'Residential Bills_Yr 2_avg'!AI67))," "))</f>
        <v xml:space="preserve"> </v>
      </c>
      <c r="AJ68" s="25" t="str">
        <f t="shared" ref="AJ68:AJ69" si="44">IFERROR(AH68*AI68," ")</f>
        <v xml:space="preserve"> </v>
      </c>
      <c r="AL68" s="23">
        <f>INDEX(Input!$C$21:$AL$25,MATCH('Residential Bills_Yr 2_avg'!$A68,Input!$A$21:$A$25,0),MATCH('Residential Bills_Yr 2_avg'!AL$61,Input!$C$20:$AL$20,0))</f>
        <v>0</v>
      </c>
      <c r="AM68" s="24" t="str">
        <f>IF(Input!O128="Tier 4",($B$55-AM65-AM66-AM67),IF(Input!O128="Tier 5",IF(('Residential Bills_Yr 2_avg'!$B$55-'Residential Bills_Yr 2_avg'!AM65-'Residential Bills_Yr 2_avg'!AM66-'Residential Bills_Yr 2_avg'!AM67)&gt;Input!O133,Input!O133,('Residential Bills_Yr 2_avg'!$B$55-'Residential Bills_Yr 2_avg'!AM65-'Residential Bills_Yr 2_avg'!AM66-'Residential Bills_Yr 2_avg'!AM67))," "))</f>
        <v xml:space="preserve"> </v>
      </c>
      <c r="AN68" s="25" t="str">
        <f t="shared" ref="AN68:AN69" si="45">IFERROR(AL68*AM68," ")</f>
        <v xml:space="preserve"> </v>
      </c>
      <c r="AP68" s="23">
        <f>INDEX(Input!$C$21:$AL$25,MATCH('Residential Bills_Yr 2_avg'!$A68,Input!$A$21:$A$25,0),MATCH('Residential Bills_Yr 2_avg'!AP$61,Input!$C$20:$AL$20,0))</f>
        <v>0</v>
      </c>
      <c r="AQ68" s="24" t="str">
        <f>IF(Input!P128="Tier 4",($B$55-AQ65-AQ66-AQ67),IF(Input!P128="Tier 5",IF(('Residential Bills_Yr 2_avg'!$B$55-'Residential Bills_Yr 2_avg'!AQ65-'Residential Bills_Yr 2_avg'!AQ66-'Residential Bills_Yr 2_avg'!AQ67)&gt;Input!P133,Input!P133,('Residential Bills_Yr 2_avg'!$B$55-'Residential Bills_Yr 2_avg'!AQ65-'Residential Bills_Yr 2_avg'!AQ66-'Residential Bills_Yr 2_avg'!AQ67))," "))</f>
        <v xml:space="preserve"> </v>
      </c>
      <c r="AR68" s="25" t="str">
        <f t="shared" ref="AR68:AR69" si="46">IFERROR(AP68*AQ68," ")</f>
        <v xml:space="preserve"> </v>
      </c>
      <c r="AS68" s="30"/>
      <c r="AT68" s="23">
        <f>INDEX(Input!$C$21:$AL$25,MATCH('Residential Bills_Yr 2_avg'!$A68,Input!$A$21:$A$25,0),MATCH('Residential Bills_Yr 2_avg'!AT$61,Input!$C$20:$AL$20,0))</f>
        <v>0</v>
      </c>
      <c r="AU68" s="24" t="str">
        <f>IF(Input!Q128="Tier 4",($B$55-AU65-AU66-AU67),IF(Input!Q128="Tier 5",IF(('Residential Bills_Yr 2_avg'!$B$55-'Residential Bills_Yr 2_avg'!AU65-'Residential Bills_Yr 2_avg'!AU66-'Residential Bills_Yr 2_avg'!AU67)&gt;Input!Q133,Input!Q133,('Residential Bills_Yr 2_avg'!$B$55-'Residential Bills_Yr 2_avg'!AU65-'Residential Bills_Yr 2_avg'!AU66-'Residential Bills_Yr 2_avg'!AU67))," "))</f>
        <v xml:space="preserve"> </v>
      </c>
      <c r="AV68" s="25" t="str">
        <f t="shared" ref="AV68:AV69" si="47">IFERROR(AT68*AU68," ")</f>
        <v xml:space="preserve"> </v>
      </c>
    </row>
    <row r="69" spans="1:48" ht="14.5" hidden="1" customHeight="1" x14ac:dyDescent="0.55000000000000004">
      <c r="A69" t="str">
        <f>A21</f>
        <v>Tier 5</v>
      </c>
      <c r="B69" s="23">
        <f>INDEX(Input!$C$21:$AL$25,MATCH('Residential Bills_Yr 2_avg'!$A69,Input!$A$21:$A$25,0),MATCH('Residential Bills_Yr 2_avg'!B$61,Input!$C$20:$AL$20,0))</f>
        <v>0</v>
      </c>
      <c r="C69" s="24" t="str">
        <f>IF(Input!F128="Tier 5",('Residential Bills_Yr 2_avg'!$B$55-'Residential Bills_Yr 2_avg'!C65-'Residential Bills_Yr 2_avg'!C66-'Residential Bills_Yr 2_avg'!C67-'Residential Bills_Yr 2_avg'!C68)," ")</f>
        <v xml:space="preserve"> </v>
      </c>
      <c r="D69" s="25" t="str">
        <f t="shared" si="36"/>
        <v xml:space="preserve"> </v>
      </c>
      <c r="F69" s="23">
        <f>INDEX(Input!$C$21:$AL$25,MATCH('Residential Bills_Yr 2_avg'!$A69,Input!$A$21:$A$25,0),MATCH('Residential Bills_Yr 2_avg'!F$61,Input!$C$20:$AL$20,0))</f>
        <v>0</v>
      </c>
      <c r="G69" s="24" t="str">
        <f>IF(Input!G128="Tier 5",('Residential Bills_Yr 2_avg'!$B$55-'Residential Bills_Yr 2_avg'!G65-'Residential Bills_Yr 2_avg'!G66-'Residential Bills_Yr 2_avg'!G67-'Residential Bills_Yr 2_avg'!G68)," ")</f>
        <v xml:space="preserve"> </v>
      </c>
      <c r="H69" s="25" t="str">
        <f t="shared" si="37"/>
        <v xml:space="preserve"> </v>
      </c>
      <c r="J69" s="23">
        <f>INDEX(Input!$C$21:$AL$25,MATCH('Residential Bills_Yr 2_avg'!$A69,Input!$A$21:$A$25,0),MATCH('Residential Bills_Yr 2_avg'!J$61,Input!$C$20:$AL$20,0))</f>
        <v>0</v>
      </c>
      <c r="K69" s="24" t="str">
        <f>IF(Input!H128="Tier 5",('Residential Bills_Yr 2_avg'!$B$55-'Residential Bills_Yr 2_avg'!K$17-'Residential Bills_Yr 2_avg'!K$18-'Residential Bills_Yr 2_avg'!K$19-'Residential Bills_Yr 2_avg'!K$20)," ")</f>
        <v xml:space="preserve"> </v>
      </c>
      <c r="L69" s="25" t="str">
        <f t="shared" si="38"/>
        <v xml:space="preserve"> </v>
      </c>
      <c r="N69" s="23">
        <f>INDEX(Input!$C$21:$AL$25,MATCH('Residential Bills_Yr 2_avg'!$A69,Input!$A$21:$A$25,0),MATCH('Residential Bills_Yr 2_avg'!N$61,Input!$C$20:$AL$20,0))</f>
        <v>0</v>
      </c>
      <c r="O69" s="24" t="str">
        <f>IF(Input!I128="Tier 5",('Residential Bills_Yr 2_avg'!$B$55-'Residential Bills_Yr 2_avg'!O$17-'Residential Bills_Yr 2_avg'!O$18-'Residential Bills_Yr 2_avg'!O$19-'Residential Bills_Yr 2_avg'!O$20)," ")</f>
        <v xml:space="preserve"> </v>
      </c>
      <c r="P69" s="25" t="str">
        <f t="shared" si="39"/>
        <v xml:space="preserve"> </v>
      </c>
      <c r="R69" s="23">
        <f>INDEX(Input!$C$21:$AL$25,MATCH('Residential Bills_Yr 2_avg'!$A69,Input!$A$21:$A$25,0),MATCH('Residential Bills_Yr 2_avg'!R$61,Input!$C$20:$AL$20,0))</f>
        <v>0</v>
      </c>
      <c r="S69" s="24" t="str">
        <f>IF(Input!J128="Tier 5",('Residential Bills_Yr 2_avg'!$B$55-'Residential Bills_Yr 2_avg'!S$17-'Residential Bills_Yr 2_avg'!S$18-'Residential Bills_Yr 2_avg'!S$19-'Residential Bills_Yr 2_avg'!S$20)," ")</f>
        <v xml:space="preserve"> </v>
      </c>
      <c r="T69" s="25" t="str">
        <f t="shared" si="40"/>
        <v xml:space="preserve"> </v>
      </c>
      <c r="V69" s="23">
        <f>INDEX(Input!$C$21:$AL$25,MATCH('Residential Bills_Yr 2_avg'!$A69,Input!$A$21:$A$25,0),MATCH('Residential Bills_Yr 2_avg'!V$61,Input!$C$20:$AL$20,0))</f>
        <v>0</v>
      </c>
      <c r="W69" s="24" t="str">
        <f>IF(Input!K128="Tier 5",('Residential Bills_Yr 2_avg'!$B$55-'Residential Bills_Yr 2_avg'!W$17-'Residential Bills_Yr 2_avg'!W$18-'Residential Bills_Yr 2_avg'!W$19-'Residential Bills_Yr 2_avg'!W$20)," ")</f>
        <v xml:space="preserve"> </v>
      </c>
      <c r="X69" s="25" t="str">
        <f t="shared" si="41"/>
        <v xml:space="preserve"> </v>
      </c>
      <c r="Z69" s="23">
        <f>INDEX(Input!$C$21:$AL$25,MATCH('Residential Bills_Yr 2_avg'!$A69,Input!$A$21:$A$25,0),MATCH('Residential Bills_Yr 2_avg'!Z$61,Input!$C$20:$AL$20,0))</f>
        <v>0</v>
      </c>
      <c r="AA69" s="24" t="str">
        <f>IF(Input!L128="Tier 5",('Residential Bills_Yr 2_avg'!$B$55-'Residential Bills_Yr 2_avg'!AA$17-'Residential Bills_Yr 2_avg'!AA$18-'Residential Bills_Yr 2_avg'!AA$19-'Residential Bills_Yr 2_avg'!AA$20)," ")</f>
        <v xml:space="preserve"> </v>
      </c>
      <c r="AB69" s="25" t="str">
        <f t="shared" si="42"/>
        <v xml:space="preserve"> </v>
      </c>
      <c r="AD69" s="23">
        <f>INDEX(Input!$C$21:$AL$25,MATCH('Residential Bills_Yr 2_avg'!$A69,Input!$A$21:$A$25,0),MATCH('Residential Bills_Yr 2_avg'!AD$61,Input!$C$20:$AL$20,0))</f>
        <v>0</v>
      </c>
      <c r="AE69" s="24" t="str">
        <f>IF(Input!M128="Tier 5",('Residential Bills_Yr 2_avg'!$B$55-'Residential Bills_Yr 2_avg'!AE$17-'Residential Bills_Yr 2_avg'!AE$18-'Residential Bills_Yr 2_avg'!AE$19-'Residential Bills_Yr 2_avg'!AE$20)," ")</f>
        <v xml:space="preserve"> </v>
      </c>
      <c r="AF69" s="25" t="str">
        <f t="shared" si="43"/>
        <v xml:space="preserve"> </v>
      </c>
      <c r="AH69" s="23">
        <f>INDEX(Input!$C$21:$AL$25,MATCH('Residential Bills_Yr 2_avg'!$A69,Input!$A$21:$A$25,0),MATCH('Residential Bills_Yr 2_avg'!AH$61,Input!$C$20:$AL$20,0))</f>
        <v>0</v>
      </c>
      <c r="AI69" s="24" t="str">
        <f>IF(Input!N128="Tier 5",('Residential Bills_Yr 2_avg'!$B$55-'Residential Bills_Yr 2_avg'!AI$17-'Residential Bills_Yr 2_avg'!AI$18-'Residential Bills_Yr 2_avg'!AI$19-'Residential Bills_Yr 2_avg'!AI$20)," ")</f>
        <v xml:space="preserve"> </v>
      </c>
      <c r="AJ69" s="25" t="str">
        <f t="shared" si="44"/>
        <v xml:space="preserve"> </v>
      </c>
      <c r="AL69" s="23">
        <f>INDEX(Input!$C$21:$AL$25,MATCH('Residential Bills_Yr 2_avg'!$A69,Input!$A$21:$A$25,0),MATCH('Residential Bills_Yr 2_avg'!AL$61,Input!$C$20:$AL$20,0))</f>
        <v>0</v>
      </c>
      <c r="AM69" s="24" t="str">
        <f>IF(Input!O128="Tier 5",('Residential Bills_Yr 2_avg'!$B$55-'Residential Bills_Yr 2_avg'!AM$17-'Residential Bills_Yr 2_avg'!AM$18-'Residential Bills_Yr 2_avg'!AM$19-'Residential Bills_Yr 2_avg'!AM$20)," ")</f>
        <v xml:space="preserve"> </v>
      </c>
      <c r="AN69" s="25" t="str">
        <f t="shared" si="45"/>
        <v xml:space="preserve"> </v>
      </c>
      <c r="AP69" s="23">
        <f>INDEX(Input!$C$21:$AL$25,MATCH('Residential Bills_Yr 2_avg'!$A69,Input!$A$21:$A$25,0),MATCH('Residential Bills_Yr 2_avg'!AP$61,Input!$C$20:$AL$20,0))</f>
        <v>0</v>
      </c>
      <c r="AQ69" s="24" t="str">
        <f>IF(Input!P128="Tier 5",('Residential Bills_Yr 2_avg'!$B$55-'Residential Bills_Yr 2_avg'!AQ$17-'Residential Bills_Yr 2_avg'!AQ$18-'Residential Bills_Yr 2_avg'!AQ$19-'Residential Bills_Yr 2_avg'!AQ$20)," ")</f>
        <v xml:space="preserve"> </v>
      </c>
      <c r="AR69" s="25" t="str">
        <f t="shared" si="46"/>
        <v xml:space="preserve"> </v>
      </c>
      <c r="AS69" s="30"/>
      <c r="AT69" s="23">
        <f>INDEX(Input!$C$21:$AL$25,MATCH('Residential Bills_Yr 2_avg'!$A69,Input!$A$21:$A$25,0),MATCH('Residential Bills_Yr 2_avg'!AT$61,Input!$C$20:$AL$20,0))</f>
        <v>0</v>
      </c>
      <c r="AU69" s="24" t="str">
        <f>IF(Input!Q128="Tier 5",('Residential Bills_Yr 2_avg'!$B$55-'Residential Bills_Yr 2_avg'!AU$17-'Residential Bills_Yr 2_avg'!AU$18-'Residential Bills_Yr 2_avg'!AU$19-'Residential Bills_Yr 2_avg'!AU$20)," ")</f>
        <v xml:space="preserve"> </v>
      </c>
      <c r="AV69" s="25" t="str">
        <f t="shared" si="47"/>
        <v xml:space="preserve"> </v>
      </c>
    </row>
    <row r="70" spans="1:48" x14ac:dyDescent="0.55000000000000004">
      <c r="A70" t="s">
        <v>39</v>
      </c>
      <c r="B70" s="16"/>
      <c r="C70" s="24">
        <f>SUM(C65:C69)</f>
        <v>11</v>
      </c>
      <c r="D70" s="26">
        <f>SUM(D65:D69)+D62</f>
        <v>107.58000000000001</v>
      </c>
      <c r="F70" s="16"/>
      <c r="G70" s="24">
        <f>SUM(G65:G69)</f>
        <v>11</v>
      </c>
      <c r="H70" s="26">
        <f>SUM(H65:H69)+H62</f>
        <v>107.58000000000001</v>
      </c>
      <c r="J70" s="16"/>
      <c r="K70" s="24">
        <f>SUM(K65:K69)</f>
        <v>11</v>
      </c>
      <c r="L70" s="26">
        <f>SUM(L65:L69)+L62</f>
        <v>107.58000000000001</v>
      </c>
      <c r="N70" s="16"/>
      <c r="O70" s="24">
        <f>SUM(O65:O69)</f>
        <v>11</v>
      </c>
      <c r="P70" s="26">
        <f>SUM(P65:P69)+P62</f>
        <v>107.58000000000001</v>
      </c>
      <c r="R70" s="16"/>
      <c r="S70" s="24">
        <f>SUM(S65:S69)</f>
        <v>11</v>
      </c>
      <c r="T70" s="26">
        <f>SUM(T65:T69)+T62</f>
        <v>107.58000000000001</v>
      </c>
      <c r="V70" s="16"/>
      <c r="W70" s="24">
        <f>SUM(W65:W69)</f>
        <v>11</v>
      </c>
      <c r="X70" s="26">
        <f>SUM(X65:X69)+X62</f>
        <v>107.58000000000001</v>
      </c>
      <c r="Z70" s="16"/>
      <c r="AA70" s="24">
        <f>SUM(AA65:AA69)</f>
        <v>11</v>
      </c>
      <c r="AB70" s="26">
        <f>SUM(AB65:AB69)+AB62</f>
        <v>107.58000000000001</v>
      </c>
      <c r="AD70" s="16"/>
      <c r="AE70" s="24">
        <f>SUM(AE65:AE69)</f>
        <v>11</v>
      </c>
      <c r="AF70" s="26">
        <f>SUM(AF65:AF69)+AF62</f>
        <v>107.58000000000001</v>
      </c>
      <c r="AH70" s="16"/>
      <c r="AI70" s="24">
        <f>SUM(AI65:AI69)</f>
        <v>11</v>
      </c>
      <c r="AJ70" s="26">
        <f>SUM(AJ65:AJ69)+AJ62</f>
        <v>107.58000000000001</v>
      </c>
      <c r="AL70" s="16"/>
      <c r="AM70" s="24">
        <f>SUM(AM65:AM69)</f>
        <v>11</v>
      </c>
      <c r="AN70" s="26">
        <f>SUM(AN65:AN69)+AN62</f>
        <v>107.58000000000001</v>
      </c>
      <c r="AP70" s="16"/>
      <c r="AQ70" s="24">
        <f>SUM(AQ65:AQ69)</f>
        <v>11</v>
      </c>
      <c r="AR70" s="26">
        <f>SUM(AR65:AR69)+AR62</f>
        <v>107.58000000000001</v>
      </c>
      <c r="AS70" s="64"/>
      <c r="AT70" s="16"/>
      <c r="AU70" s="24">
        <f>SUM(AU65:AU69)</f>
        <v>11</v>
      </c>
      <c r="AV70" s="26">
        <f>SUM(AV65:AV69)+AV62</f>
        <v>107.58000000000001</v>
      </c>
    </row>
    <row r="71" spans="1:48" x14ac:dyDescent="0.55000000000000004">
      <c r="B71" s="16"/>
      <c r="C71" s="17"/>
      <c r="D71" s="19"/>
      <c r="F71" s="16"/>
      <c r="G71" s="17"/>
      <c r="H71" s="19"/>
      <c r="J71" s="16"/>
      <c r="K71" s="17"/>
      <c r="L71" s="19"/>
      <c r="N71" s="16"/>
      <c r="O71" s="17"/>
      <c r="P71" s="19"/>
      <c r="R71" s="16"/>
      <c r="S71" s="17"/>
      <c r="T71" s="19"/>
      <c r="V71" s="16"/>
      <c r="W71" s="17"/>
      <c r="X71" s="19"/>
      <c r="Z71" s="16"/>
      <c r="AA71" s="17"/>
      <c r="AB71" s="19"/>
      <c r="AD71" s="16"/>
      <c r="AE71" s="17"/>
      <c r="AF71" s="19"/>
      <c r="AH71" s="16"/>
      <c r="AI71" s="17"/>
      <c r="AJ71" s="19"/>
      <c r="AL71" s="16"/>
      <c r="AM71" s="17"/>
      <c r="AN71" s="19"/>
      <c r="AP71" s="16"/>
      <c r="AQ71" s="17"/>
      <c r="AR71" s="19"/>
      <c r="AS71" s="17"/>
      <c r="AT71" s="16"/>
      <c r="AU71" s="17"/>
      <c r="AV71" s="19"/>
    </row>
    <row r="72" spans="1:48" x14ac:dyDescent="0.55000000000000004">
      <c r="A72" s="1" t="s">
        <v>34</v>
      </c>
      <c r="B72" s="20" t="s">
        <v>29</v>
      </c>
      <c r="C72" s="21" t="s">
        <v>44</v>
      </c>
      <c r="D72" s="22" t="s">
        <v>30</v>
      </c>
      <c r="F72" s="20" t="s">
        <v>29</v>
      </c>
      <c r="G72" s="21" t="s">
        <v>44</v>
      </c>
      <c r="H72" s="22" t="s">
        <v>30</v>
      </c>
      <c r="J72" s="20" t="s">
        <v>29</v>
      </c>
      <c r="K72" s="21" t="s">
        <v>44</v>
      </c>
      <c r="L72" s="22" t="s">
        <v>30</v>
      </c>
      <c r="N72" s="20" t="s">
        <v>29</v>
      </c>
      <c r="O72" s="21" t="s">
        <v>44</v>
      </c>
      <c r="P72" s="22" t="s">
        <v>30</v>
      </c>
      <c r="R72" s="20" t="s">
        <v>29</v>
      </c>
      <c r="S72" s="21" t="s">
        <v>44</v>
      </c>
      <c r="T72" s="22" t="s">
        <v>30</v>
      </c>
      <c r="V72" s="20" t="s">
        <v>29</v>
      </c>
      <c r="W72" s="21" t="s">
        <v>44</v>
      </c>
      <c r="X72" s="22" t="s">
        <v>30</v>
      </c>
      <c r="Z72" s="20" t="s">
        <v>29</v>
      </c>
      <c r="AA72" s="21" t="s">
        <v>44</v>
      </c>
      <c r="AB72" s="22" t="s">
        <v>30</v>
      </c>
      <c r="AD72" s="20" t="s">
        <v>29</v>
      </c>
      <c r="AE72" s="21" t="s">
        <v>44</v>
      </c>
      <c r="AF72" s="22" t="s">
        <v>30</v>
      </c>
      <c r="AH72" s="20" t="s">
        <v>29</v>
      </c>
      <c r="AI72" s="21" t="s">
        <v>44</v>
      </c>
      <c r="AJ72" s="22" t="s">
        <v>30</v>
      </c>
      <c r="AL72" s="20" t="s">
        <v>29</v>
      </c>
      <c r="AM72" s="21" t="s">
        <v>44</v>
      </c>
      <c r="AN72" s="22" t="s">
        <v>30</v>
      </c>
      <c r="AP72" s="20" t="s">
        <v>29</v>
      </c>
      <c r="AQ72" s="21" t="s">
        <v>44</v>
      </c>
      <c r="AR72" s="22" t="s">
        <v>30</v>
      </c>
      <c r="AS72" s="170"/>
      <c r="AT72" s="20" t="s">
        <v>29</v>
      </c>
      <c r="AU72" s="21" t="s">
        <v>44</v>
      </c>
      <c r="AV72" s="22" t="s">
        <v>30</v>
      </c>
    </row>
    <row r="73" spans="1:48" s="44" customFormat="1" x14ac:dyDescent="0.55000000000000004">
      <c r="A73" s="44" t="str">
        <f t="shared" ref="A73:A79" si="48">A25</f>
        <v>SRF 1</v>
      </c>
      <c r="B73" s="173">
        <f>INDEX(Input!$C$62:$AM$74,MATCH($A73,Input!$A$62:$A$74,0),MATCH(B$61,Input!$C$61:$AM$61,0))</f>
        <v>0.04</v>
      </c>
      <c r="C73" s="31" t="str">
        <f>IF(VLOOKUP($A73,Input!$A$62:$B$74,2,FALSE)="Percentage",D$70,IF(VLOOKUP($A73,Input!$A$62:$B$74,2,FALSE)="Fixed","Fixed",(C$70)))</f>
        <v>Fixed</v>
      </c>
      <c r="D73" s="25">
        <f t="shared" ref="D73:D85" si="49">ROUND(IF(C73="Fixed",B73,(B73*C73)),2)</f>
        <v>0.04</v>
      </c>
      <c r="F73" s="173">
        <f>INDEX(Input!$C$62:$AM$74,MATCH($A73,Input!$A$62:$A$74,0),MATCH(F$61,Input!$C$61:$AM$61,0))</f>
        <v>0.04</v>
      </c>
      <c r="G73" s="31" t="str">
        <f>IF(VLOOKUP($A73,Input!$A$62:$B$74,2,FALSE)="Percentage",H$70,IF(VLOOKUP($A73,Input!$A$62:$B$74,2,FALSE)="Fixed","Fixed",(G$70)))</f>
        <v>Fixed</v>
      </c>
      <c r="H73" s="25">
        <f t="shared" ref="H73:H85" si="50">ROUND(IF(G73="Fixed",F73,(F73*G73)),2)</f>
        <v>0.04</v>
      </c>
      <c r="J73" s="173">
        <f>INDEX(Input!$C$62:$AM$74,MATCH($A73,Input!$A$62:$A$74,0),MATCH(J$61,Input!$C$61:$AM$61,0))</f>
        <v>0.04</v>
      </c>
      <c r="K73" s="31" t="str">
        <f>IF(VLOOKUP($A73,Input!$A$62:$B$74,2,FALSE)="Percentage",L$70,IF(VLOOKUP($A73,Input!$A$62:$B$74,2,FALSE)="Fixed","Fixed",(K$70)))</f>
        <v>Fixed</v>
      </c>
      <c r="L73" s="25">
        <f t="shared" ref="L73:L85" si="51">ROUND(IF(K73="Fixed",J73,(J73*K73)),2)</f>
        <v>0.04</v>
      </c>
      <c r="N73" s="173">
        <f>INDEX(Input!$C$62:$AM$74,MATCH($A73,Input!$A$62:$A$74,0),MATCH(N$61,Input!$C$61:$AM$61,0))</f>
        <v>0.04</v>
      </c>
      <c r="O73" s="31" t="str">
        <f>IF(VLOOKUP($A73,Input!$A$62:$B$74,2,FALSE)="Percentage",P$70,IF(VLOOKUP($A73,Input!$A$62:$B$74,2,FALSE)="Fixed","Fixed",(O$70)))</f>
        <v>Fixed</v>
      </c>
      <c r="P73" s="25">
        <f t="shared" ref="P73:P85" si="52">ROUND(IF(O73="Fixed",N73,(N73*O73)),2)</f>
        <v>0.04</v>
      </c>
      <c r="R73" s="173">
        <f>INDEX(Input!$C$62:$AM$74,MATCH($A73,Input!$A$62:$A$74,0),MATCH(R$61,Input!$C$61:$AM$61,0))</f>
        <v>0.04</v>
      </c>
      <c r="S73" s="31" t="str">
        <f>IF(VLOOKUP($A73,Input!$A$62:$B$74,2,FALSE)="Percentage",T$70,IF(VLOOKUP($A73,Input!$A$62:$B$74,2,FALSE)="Fixed","Fixed",(S$70)))</f>
        <v>Fixed</v>
      </c>
      <c r="T73" s="25">
        <f t="shared" ref="T73:T85" si="53">ROUND(IF(S73="Fixed",R73,(R73*S73)),2)</f>
        <v>0.04</v>
      </c>
      <c r="V73" s="173">
        <f>INDEX(Input!$C$62:$AM$74,MATCH($A73,Input!$A$62:$A$74,0),MATCH(V$61,Input!$C$61:$AM$61,0))</f>
        <v>0.04</v>
      </c>
      <c r="W73" s="31" t="str">
        <f>IF(VLOOKUP($A73,Input!$A$62:$B$74,2,FALSE)="Percentage",X$70,IF(VLOOKUP($A73,Input!$A$62:$B$74,2,FALSE)="Fixed","Fixed",(W$70)))</f>
        <v>Fixed</v>
      </c>
      <c r="X73" s="25">
        <f t="shared" ref="X73:X85" si="54">ROUND(IF(W73="Fixed",V73,(V73*W73)),2)</f>
        <v>0.04</v>
      </c>
      <c r="Z73" s="173">
        <f>INDEX(Input!$C$62:$AM$74,MATCH($A73,Input!$A$62:$A$74,0),MATCH(Z$61,Input!$C$61:$AM$61,0))</f>
        <v>0.04</v>
      </c>
      <c r="AA73" s="31" t="str">
        <f>IF(VLOOKUP($A73,Input!$A$62:$B$74,2,FALSE)="Percentage",AB$70,IF(VLOOKUP($A73,Input!$A$62:$B$74,2,FALSE)="Fixed","Fixed",(AA$70)))</f>
        <v>Fixed</v>
      </c>
      <c r="AB73" s="25">
        <f t="shared" ref="AB73:AB85" si="55">ROUND(IF(AA73="Fixed",Z73,(Z73*AA73)),2)</f>
        <v>0.04</v>
      </c>
      <c r="AD73" s="173">
        <f>INDEX(Input!$C$62:$AM$74,MATCH($A73,Input!$A$62:$A$74,0),MATCH(AD$61,Input!$C$61:$AM$61,0))</f>
        <v>0.04</v>
      </c>
      <c r="AE73" s="31" t="str">
        <f>IF(VLOOKUP($A73,Input!$A$62:$B$74,2,FALSE)="Percentage",AF$70,IF(VLOOKUP($A73,Input!$A$62:$B$74,2,FALSE)="Fixed","Fixed",(AE$70)))</f>
        <v>Fixed</v>
      </c>
      <c r="AF73" s="25">
        <f t="shared" ref="AF73:AF85" si="56">ROUND(IF(AE73="Fixed",AD73,(AD73*AE73)),2)</f>
        <v>0.04</v>
      </c>
      <c r="AH73" s="173">
        <f>INDEX(Input!$C$62:$AM$74,MATCH($A73,Input!$A$62:$A$74,0),MATCH(AH$61,Input!$C$61:$AM$61,0))</f>
        <v>0.04</v>
      </c>
      <c r="AI73" s="31" t="str">
        <f>IF(VLOOKUP($A73,Input!$A$62:$B$74,2,FALSE)="Percentage",AJ$70,IF(VLOOKUP($A73,Input!$A$62:$B$74,2,FALSE)="Fixed","Fixed",(AI$70)))</f>
        <v>Fixed</v>
      </c>
      <c r="AJ73" s="25">
        <f t="shared" ref="AJ73:AJ85" si="57">ROUND(IF(AI73="Fixed",AH73,(AH73*AI73)),2)</f>
        <v>0.04</v>
      </c>
      <c r="AL73" s="173">
        <f>INDEX(Input!$C$62:$AM$74,MATCH($A73,Input!$A$62:$A$74,0),MATCH(AL$61,Input!$C$61:$AM$61,0))</f>
        <v>0.04</v>
      </c>
      <c r="AM73" s="31" t="str">
        <f>IF(VLOOKUP($A73,Input!$A$62:$B$74,2,FALSE)="Percentage",AN$70,IF(VLOOKUP($A73,Input!$A$62:$B$74,2,FALSE)="Fixed","Fixed",(AM$70)))</f>
        <v>Fixed</v>
      </c>
      <c r="AN73" s="25">
        <f t="shared" ref="AN73:AN85" si="58">ROUND(IF(AM73="Fixed",AL73,(AL73*AM73)),2)</f>
        <v>0.04</v>
      </c>
      <c r="AP73" s="173">
        <f>INDEX(Input!$C$62:$AM$74,MATCH($A73,Input!$A$62:$A$74,0),MATCH(AP$61,Input!$C$61:$AM$61,0))</f>
        <v>0.04</v>
      </c>
      <c r="AQ73" s="31" t="str">
        <f>IF(VLOOKUP($A73,Input!$A$62:$B$74,2,FALSE)="Percentage",AR$70,IF(VLOOKUP($A73,Input!$A$62:$B$74,2,FALSE)="Fixed","Fixed",(AQ$70)))</f>
        <v>Fixed</v>
      </c>
      <c r="AR73" s="25">
        <f t="shared" ref="AR73:AR85" si="59">ROUND(IF(AQ73="Fixed",AP73,(AP73*AQ73)),2)</f>
        <v>0.04</v>
      </c>
      <c r="AS73" s="30"/>
      <c r="AT73" s="173">
        <f>INDEX(Input!$C$62:$AM$74,MATCH($A73,Input!$A$62:$A$74,0),MATCH(AT$61,Input!$C$61:$AM$61,0))</f>
        <v>0.04</v>
      </c>
      <c r="AU73" s="31" t="str">
        <f>IF(VLOOKUP($A73,Input!$A$62:$B$74,2,FALSE)="Percentage",AV$70,IF(VLOOKUP($A73,Input!$A$62:$B$74,2,FALSE)="Fixed","Fixed",(AU$70)))</f>
        <v>Fixed</v>
      </c>
      <c r="AV73" s="25">
        <f t="shared" ref="AV73:AV85" si="60">ROUND(IF(AU73="Fixed",AT73,(AT73*AU73)),2)</f>
        <v>0.04</v>
      </c>
    </row>
    <row r="74" spans="1:48" x14ac:dyDescent="0.55000000000000004">
      <c r="A74" t="str">
        <f t="shared" si="48"/>
        <v>SRF 2</v>
      </c>
      <c r="B74" s="173">
        <f>INDEX(Input!$C$62:$AM$74,MATCH($A74,Input!$A$62:$A$74,0),MATCH(B$61,Input!$C$61:$AM$61,0))</f>
        <v>0.02</v>
      </c>
      <c r="C74" s="31" t="str">
        <f>IF(VLOOKUP($A74,Input!$A$62:$B$74,2,FALSE)="Percentage",D$70,IF(VLOOKUP($A74,Input!$A$62:$B$74,2,FALSE)="Fixed","Fixed",(C$70)))</f>
        <v>Fixed</v>
      </c>
      <c r="D74" s="25">
        <f t="shared" si="49"/>
        <v>0.02</v>
      </c>
      <c r="F74" s="173">
        <f>INDEX(Input!$C$62:$AM$74,MATCH($A74,Input!$A$62:$A$74,0),MATCH(F$61,Input!$C$61:$AM$61,0))</f>
        <v>0.02</v>
      </c>
      <c r="G74" s="31" t="str">
        <f>IF(VLOOKUP($A74,Input!$A$62:$B$74,2,FALSE)="Percentage",H$70,IF(VLOOKUP($A74,Input!$A$62:$B$74,2,FALSE)="Fixed","Fixed",(G$70)))</f>
        <v>Fixed</v>
      </c>
      <c r="H74" s="25">
        <f t="shared" si="50"/>
        <v>0.02</v>
      </c>
      <c r="J74" s="173">
        <f>INDEX(Input!$C$62:$AM$74,MATCH($A74,Input!$A$62:$A$74,0),MATCH(J$61,Input!$C$61:$AM$61,0))</f>
        <v>0.02</v>
      </c>
      <c r="K74" s="31" t="str">
        <f>IF(VLOOKUP($A74,Input!$A$62:$B$74,2,FALSE)="Percentage",L$70,IF(VLOOKUP($A74,Input!$A$62:$B$74,2,FALSE)="Fixed","Fixed",(K$70)))</f>
        <v>Fixed</v>
      </c>
      <c r="L74" s="25">
        <f t="shared" si="51"/>
        <v>0.02</v>
      </c>
      <c r="N74" s="173">
        <f>INDEX(Input!$C$62:$AM$74,MATCH($A74,Input!$A$62:$A$74,0),MATCH(N$61,Input!$C$61:$AM$61,0))</f>
        <v>0.02</v>
      </c>
      <c r="O74" s="31" t="str">
        <f>IF(VLOOKUP($A74,Input!$A$62:$B$74,2,FALSE)="Percentage",P$70,IF(VLOOKUP($A74,Input!$A$62:$B$74,2,FALSE)="Fixed","Fixed",(O$70)))</f>
        <v>Fixed</v>
      </c>
      <c r="P74" s="25">
        <f t="shared" si="52"/>
        <v>0.02</v>
      </c>
      <c r="R74" s="173">
        <f>INDEX(Input!$C$62:$AM$74,MATCH($A74,Input!$A$62:$A$74,0),MATCH(R$61,Input!$C$61:$AM$61,0))</f>
        <v>0.02</v>
      </c>
      <c r="S74" s="31" t="str">
        <f>IF(VLOOKUP($A74,Input!$A$62:$B$74,2,FALSE)="Percentage",T$70,IF(VLOOKUP($A74,Input!$A$62:$B$74,2,FALSE)="Fixed","Fixed",(S$70)))</f>
        <v>Fixed</v>
      </c>
      <c r="T74" s="25">
        <f t="shared" si="53"/>
        <v>0.02</v>
      </c>
      <c r="V74" s="173">
        <f>INDEX(Input!$C$62:$AM$74,MATCH($A74,Input!$A$62:$A$74,0),MATCH(V$61,Input!$C$61:$AM$61,0))</f>
        <v>0.02</v>
      </c>
      <c r="W74" s="31" t="str">
        <f>IF(VLOOKUP($A74,Input!$A$62:$B$74,2,FALSE)="Percentage",X$70,IF(VLOOKUP($A74,Input!$A$62:$B$74,2,FALSE)="Fixed","Fixed",(W$70)))</f>
        <v>Fixed</v>
      </c>
      <c r="X74" s="25">
        <f t="shared" si="54"/>
        <v>0.02</v>
      </c>
      <c r="Z74" s="173">
        <f>INDEX(Input!$C$62:$AM$74,MATCH($A74,Input!$A$62:$A$74,0),MATCH(Z$61,Input!$C$61:$AM$61,0))</f>
        <v>0.02</v>
      </c>
      <c r="AA74" s="31" t="str">
        <f>IF(VLOOKUP($A74,Input!$A$62:$B$74,2,FALSE)="Percentage",AB$70,IF(VLOOKUP($A74,Input!$A$62:$B$74,2,FALSE)="Fixed","Fixed",(AA$70)))</f>
        <v>Fixed</v>
      </c>
      <c r="AB74" s="25">
        <f t="shared" si="55"/>
        <v>0.02</v>
      </c>
      <c r="AD74" s="173">
        <f>INDEX(Input!$C$62:$AM$74,MATCH($A74,Input!$A$62:$A$74,0),MATCH(AD$61,Input!$C$61:$AM$61,0))</f>
        <v>0.02</v>
      </c>
      <c r="AE74" s="31" t="str">
        <f>IF(VLOOKUP($A74,Input!$A$62:$B$74,2,FALSE)="Percentage",AF$70,IF(VLOOKUP($A74,Input!$A$62:$B$74,2,FALSE)="Fixed","Fixed",(AE$70)))</f>
        <v>Fixed</v>
      </c>
      <c r="AF74" s="25">
        <f t="shared" si="56"/>
        <v>0.02</v>
      </c>
      <c r="AH74" s="173">
        <f>INDEX(Input!$C$62:$AM$74,MATCH($A74,Input!$A$62:$A$74,0),MATCH(AH$61,Input!$C$61:$AM$61,0))</f>
        <v>0.02</v>
      </c>
      <c r="AI74" s="31" t="str">
        <f>IF(VLOOKUP($A74,Input!$A$62:$B$74,2,FALSE)="Percentage",AJ$70,IF(VLOOKUP($A74,Input!$A$62:$B$74,2,FALSE)="Fixed","Fixed",(AI$70)))</f>
        <v>Fixed</v>
      </c>
      <c r="AJ74" s="25">
        <f t="shared" si="57"/>
        <v>0.02</v>
      </c>
      <c r="AL74" s="173">
        <f>INDEX(Input!$C$62:$AM$74,MATCH($A74,Input!$A$62:$A$74,0),MATCH(AL$61,Input!$C$61:$AM$61,0))</f>
        <v>0.02</v>
      </c>
      <c r="AM74" s="31" t="str">
        <f>IF(VLOOKUP($A74,Input!$A$62:$B$74,2,FALSE)="Percentage",AN$70,IF(VLOOKUP($A74,Input!$A$62:$B$74,2,FALSE)="Fixed","Fixed",(AM$70)))</f>
        <v>Fixed</v>
      </c>
      <c r="AN74" s="25">
        <f t="shared" si="58"/>
        <v>0.02</v>
      </c>
      <c r="AP74" s="173">
        <f>INDEX(Input!$C$62:$AM$74,MATCH($A74,Input!$A$62:$A$74,0),MATCH(AP$61,Input!$C$61:$AM$61,0))</f>
        <v>0.02</v>
      </c>
      <c r="AQ74" s="31" t="str">
        <f>IF(VLOOKUP($A74,Input!$A$62:$B$74,2,FALSE)="Percentage",AR$70,IF(VLOOKUP($A74,Input!$A$62:$B$74,2,FALSE)="Fixed","Fixed",(AQ$70)))</f>
        <v>Fixed</v>
      </c>
      <c r="AR74" s="25">
        <f t="shared" si="59"/>
        <v>0.02</v>
      </c>
      <c r="AS74" s="30"/>
      <c r="AT74" s="173">
        <f>INDEX(Input!$C$62:$AM$74,MATCH($A74,Input!$A$62:$A$74,0),MATCH(AT$61,Input!$C$61:$AM$61,0))</f>
        <v>0.02</v>
      </c>
      <c r="AU74" s="31" t="str">
        <f>IF(VLOOKUP($A74,Input!$A$62:$B$74,2,FALSE)="Percentage",AV$70,IF(VLOOKUP($A74,Input!$A$62:$B$74,2,FALSE)="Fixed","Fixed",(AU$70)))</f>
        <v>Fixed</v>
      </c>
      <c r="AV74" s="25">
        <f t="shared" si="60"/>
        <v>0.02</v>
      </c>
    </row>
    <row r="75" spans="1:48" x14ac:dyDescent="0.55000000000000004">
      <c r="A75" t="str">
        <f t="shared" si="48"/>
        <v>WRAP</v>
      </c>
      <c r="B75" s="173">
        <f>INDEX(Input!$C$62:$AM$74,MATCH($A75,Input!$A$62:$A$74,0),MATCH(B$61,Input!$C$61:$AM$61,0))</f>
        <v>-0.15</v>
      </c>
      <c r="C75" s="31">
        <f>IF(VLOOKUP($A75,Input!$A$62:$B$74,2,FALSE)="Percentage",D$70+D73+D74+D76+D78,IF(VLOOKUP($A75,Input!$A$62:$B$74,2,FALSE)="Fixed","Fixed",(C$70)))</f>
        <v>112.59</v>
      </c>
      <c r="D75" s="25">
        <f>ROUND(IF(C75="Fixed",B75,(B75*C75)),2)</f>
        <v>-16.89</v>
      </c>
      <c r="F75" s="173">
        <f>INDEX(Input!$C$62:$AM$74,MATCH($A75,Input!$A$62:$A$74,0),MATCH(F$61,Input!$C$61:$AM$61,0))</f>
        <v>-0.15</v>
      </c>
      <c r="G75" s="31">
        <f>IF(VLOOKUP($A75,Input!$A$62:$B$74,2,FALSE)="Percentage",H$70+H73+H74+H76+H78,IF(VLOOKUP($A75,Input!$A$62:$B$74,2,FALSE)="Fixed","Fixed",(G$70)))</f>
        <v>112.59</v>
      </c>
      <c r="H75" s="25">
        <f t="shared" si="50"/>
        <v>-16.89</v>
      </c>
      <c r="J75" s="173">
        <f>INDEX(Input!$C$62:$AM$74,MATCH($A75,Input!$A$62:$A$74,0),MATCH(J$61,Input!$C$61:$AM$61,0))</f>
        <v>-0.15</v>
      </c>
      <c r="K75" s="31">
        <f>IF(VLOOKUP($A75,Input!$A$62:$B$74,2,FALSE)="Percentage",L$70+L73+L74+L76+L78,IF(VLOOKUP($A75,Input!$A$62:$B$74,2,FALSE)="Fixed","Fixed",(K$70)))</f>
        <v>112.59</v>
      </c>
      <c r="L75" s="25">
        <f t="shared" si="51"/>
        <v>-16.89</v>
      </c>
      <c r="N75" s="173">
        <f>INDEX(Input!$C$62:$AM$74,MATCH($A75,Input!$A$62:$A$74,0),MATCH(N$61,Input!$C$61:$AM$61,0))</f>
        <v>-0.15</v>
      </c>
      <c r="O75" s="31">
        <f>IF(VLOOKUP($A75,Input!$A$62:$B$74,2,FALSE)="Percentage",P$70+P73+P74+P76+P78,IF(VLOOKUP($A75,Input!$A$62:$B$74,2,FALSE)="Fixed","Fixed",(O$70)))</f>
        <v>112.59</v>
      </c>
      <c r="P75" s="25">
        <f t="shared" si="52"/>
        <v>-16.89</v>
      </c>
      <c r="R75" s="173">
        <f>INDEX(Input!$C$62:$AM$74,MATCH($A75,Input!$A$62:$A$74,0),MATCH(R$61,Input!$C$61:$AM$61,0))</f>
        <v>-0.15</v>
      </c>
      <c r="S75" s="31">
        <f>IF(VLOOKUP($A75,Input!$A$62:$B$74,2,FALSE)="Percentage",T$70+T73+T74+T76+T78,IF(VLOOKUP($A75,Input!$A$62:$B$74,2,FALSE)="Fixed","Fixed",(S$70)))</f>
        <v>112.59</v>
      </c>
      <c r="T75" s="25">
        <f t="shared" si="53"/>
        <v>-16.89</v>
      </c>
      <c r="V75" s="173">
        <f>INDEX(Input!$C$62:$AM$74,MATCH($A75,Input!$A$62:$A$74,0),MATCH(V$61,Input!$C$61:$AM$61,0))</f>
        <v>-0.15</v>
      </c>
      <c r="W75" s="31">
        <f>IF(VLOOKUP($A75,Input!$A$62:$B$74,2,FALSE)="Percentage",X$70+X73+X74+X76+X78,IF(VLOOKUP($A75,Input!$A$62:$B$74,2,FALSE)="Fixed","Fixed",(W$70)))</f>
        <v>112.59</v>
      </c>
      <c r="X75" s="25">
        <f t="shared" si="54"/>
        <v>-16.89</v>
      </c>
      <c r="Z75" s="173">
        <f>INDEX(Input!$C$62:$AM$74,MATCH($A75,Input!$A$62:$A$74,0),MATCH(Z$61,Input!$C$61:$AM$61,0))</f>
        <v>-0.15</v>
      </c>
      <c r="AA75" s="31">
        <f>IF(VLOOKUP($A75,Input!$A$62:$B$74,2,FALSE)="Percentage",AB$70+AB73+AB74+AB76+AB78,IF(VLOOKUP($A75,Input!$A$62:$B$74,2,FALSE)="Fixed","Fixed",(AA$70)))</f>
        <v>112.59</v>
      </c>
      <c r="AB75" s="25">
        <f t="shared" si="55"/>
        <v>-16.89</v>
      </c>
      <c r="AD75" s="173">
        <f>INDEX(Input!$C$62:$AM$74,MATCH($A75,Input!$A$62:$A$74,0),MATCH(AD$61,Input!$C$61:$AM$61,0))</f>
        <v>-0.15</v>
      </c>
      <c r="AE75" s="31">
        <f>IF(VLOOKUP($A75,Input!$A$62:$B$74,2,FALSE)="Percentage",AF$70+AF73+AF74+AF76+AF78,IF(VLOOKUP($A75,Input!$A$62:$B$74,2,FALSE)="Fixed","Fixed",(AE$70)))</f>
        <v>112.59</v>
      </c>
      <c r="AF75" s="25">
        <f t="shared" si="56"/>
        <v>-16.89</v>
      </c>
      <c r="AH75" s="173">
        <f>INDEX(Input!$C$62:$AM$74,MATCH($A75,Input!$A$62:$A$74,0),MATCH(AH$61,Input!$C$61:$AM$61,0))</f>
        <v>-0.15</v>
      </c>
      <c r="AI75" s="31">
        <f>IF(VLOOKUP($A75,Input!$A$62:$B$74,2,FALSE)="Percentage",AJ$70+AJ73+AJ74+AJ76+AJ78,IF(VLOOKUP($A75,Input!$A$62:$B$74,2,FALSE)="Fixed","Fixed",(AI$70)))</f>
        <v>112.59</v>
      </c>
      <c r="AJ75" s="25">
        <f t="shared" si="57"/>
        <v>-16.89</v>
      </c>
      <c r="AL75" s="173">
        <f>INDEX(Input!$C$62:$AM$74,MATCH($A75,Input!$A$62:$A$74,0),MATCH(AL$61,Input!$C$61:$AM$61,0))</f>
        <v>-0.15</v>
      </c>
      <c r="AM75" s="31">
        <f>IF(VLOOKUP($A75,Input!$A$62:$B$74,2,FALSE)="Percentage",AN$70+AN73+AN74+AN76+AN78,IF(VLOOKUP($A75,Input!$A$62:$B$74,2,FALSE)="Fixed","Fixed",(AM$70)))</f>
        <v>112.59</v>
      </c>
      <c r="AN75" s="25">
        <f t="shared" si="58"/>
        <v>-16.89</v>
      </c>
      <c r="AP75" s="173">
        <f>INDEX(Input!$C$62:$AM$74,MATCH($A75,Input!$A$62:$A$74,0),MATCH(AP$61,Input!$C$61:$AM$61,0))</f>
        <v>-0.15</v>
      </c>
      <c r="AQ75" s="31">
        <f>IF(VLOOKUP($A75,Input!$A$62:$B$74,2,FALSE)="Percentage",AR$70+AR73+AR74+AR76+AR78,IF(VLOOKUP($A75,Input!$A$62:$B$74,2,FALSE)="Fixed","Fixed",(AQ$70)))</f>
        <v>112.59</v>
      </c>
      <c r="AR75" s="25">
        <f t="shared" si="59"/>
        <v>-16.89</v>
      </c>
      <c r="AS75" s="30"/>
      <c r="AT75" s="173">
        <f>INDEX(Input!$C$62:$AM$74,MATCH($A75,Input!$A$62:$A$74,0),MATCH(AT$61,Input!$C$61:$AM$61,0))</f>
        <v>-0.15</v>
      </c>
      <c r="AU75" s="31">
        <f>IF(VLOOKUP($A75,Input!$A$62:$B$74,2,FALSE)="Percentage",AV$70+AV73+AV74+AV76+AV78,IF(VLOOKUP($A75,Input!$A$62:$B$74,2,FALSE)="Fixed","Fixed",(AU$70)))</f>
        <v>112.59</v>
      </c>
      <c r="AV75" s="25">
        <f t="shared" si="60"/>
        <v>-16.89</v>
      </c>
    </row>
    <row r="76" spans="1:48" x14ac:dyDescent="0.55000000000000004">
      <c r="A76" t="str">
        <f t="shared" si="48"/>
        <v>PRVMA</v>
      </c>
      <c r="B76" s="173">
        <f>INDEX(Input!$C$62:$AM$74,MATCH($A76,Input!$A$62:$A$74,0),MATCH(B$61,Input!$C$61:$AM$61,0))</f>
        <v>8.8400000000000006E-3</v>
      </c>
      <c r="C76" s="31">
        <f>IF(VLOOKUP($A76,Input!$A$62:$B$74,2,FALSE)="Percentage",D$70,IF(VLOOKUP($A76,Input!$A$62:$B$74,2,FALSE)="Fixed","Fixed",(C$70)))</f>
        <v>11</v>
      </c>
      <c r="D76" s="25">
        <f t="shared" si="49"/>
        <v>0.1</v>
      </c>
      <c r="F76" s="173">
        <f>INDEX(Input!$C$62:$AM$74,MATCH($A76,Input!$A$62:$A$74,0),MATCH(F$61,Input!$C$61:$AM$61,0))</f>
        <v>8.8400000000000006E-3</v>
      </c>
      <c r="G76" s="31">
        <f>IF(VLOOKUP($A76,Input!$A$62:$B$74,2,FALSE)="Percentage",H$70,IF(VLOOKUP($A76,Input!$A$62:$B$74,2,FALSE)="Fixed","Fixed",(G$70)))</f>
        <v>11</v>
      </c>
      <c r="H76" s="25">
        <f t="shared" si="50"/>
        <v>0.1</v>
      </c>
      <c r="J76" s="173">
        <f>INDEX(Input!$C$62:$AM$74,MATCH($A76,Input!$A$62:$A$74,0),MATCH(J$61,Input!$C$61:$AM$61,0))</f>
        <v>8.8400000000000006E-3</v>
      </c>
      <c r="K76" s="31">
        <f>IF(VLOOKUP($A76,Input!$A$62:$B$74,2,FALSE)="Percentage",L$70,IF(VLOOKUP($A76,Input!$A$62:$B$74,2,FALSE)="Fixed","Fixed",(K$70)))</f>
        <v>11</v>
      </c>
      <c r="L76" s="25">
        <f t="shared" si="51"/>
        <v>0.1</v>
      </c>
      <c r="N76" s="173">
        <f>INDEX(Input!$C$62:$AM$74,MATCH($A76,Input!$A$62:$A$74,0),MATCH(N$61,Input!$C$61:$AM$61,0))</f>
        <v>8.8400000000000006E-3</v>
      </c>
      <c r="O76" s="31">
        <f>IF(VLOOKUP($A76,Input!$A$62:$B$74,2,FALSE)="Percentage",P$70,IF(VLOOKUP($A76,Input!$A$62:$B$74,2,FALSE)="Fixed","Fixed",(O$70)))</f>
        <v>11</v>
      </c>
      <c r="P76" s="25">
        <f t="shared" si="52"/>
        <v>0.1</v>
      </c>
      <c r="R76" s="173">
        <f>INDEX(Input!$C$62:$AM$74,MATCH($A76,Input!$A$62:$A$74,0),MATCH(R$61,Input!$C$61:$AM$61,0))</f>
        <v>8.8400000000000006E-3</v>
      </c>
      <c r="S76" s="31">
        <f>IF(VLOOKUP($A76,Input!$A$62:$B$74,2,FALSE)="Percentage",T$70,IF(VLOOKUP($A76,Input!$A$62:$B$74,2,FALSE)="Fixed","Fixed",(S$70)))</f>
        <v>11</v>
      </c>
      <c r="T76" s="25">
        <f t="shared" si="53"/>
        <v>0.1</v>
      </c>
      <c r="V76" s="173">
        <f>INDEX(Input!$C$62:$AM$74,MATCH($A76,Input!$A$62:$A$74,0),MATCH(V$61,Input!$C$61:$AM$61,0))</f>
        <v>8.8400000000000006E-3</v>
      </c>
      <c r="W76" s="31">
        <f>IF(VLOOKUP($A76,Input!$A$62:$B$74,2,FALSE)="Percentage",X$70,IF(VLOOKUP($A76,Input!$A$62:$B$74,2,FALSE)="Fixed","Fixed",(W$70)))</f>
        <v>11</v>
      </c>
      <c r="X76" s="25">
        <f t="shared" si="54"/>
        <v>0.1</v>
      </c>
      <c r="Z76" s="173">
        <f>INDEX(Input!$C$62:$AM$74,MATCH($A76,Input!$A$62:$A$74,0),MATCH(Z$61,Input!$C$61:$AM$61,0))</f>
        <v>8.8400000000000006E-3</v>
      </c>
      <c r="AA76" s="31">
        <f>IF(VLOOKUP($A76,Input!$A$62:$B$74,2,FALSE)="Percentage",AB$70,IF(VLOOKUP($A76,Input!$A$62:$B$74,2,FALSE)="Fixed","Fixed",(AA$70)))</f>
        <v>11</v>
      </c>
      <c r="AB76" s="25">
        <f t="shared" si="55"/>
        <v>0.1</v>
      </c>
      <c r="AD76" s="173">
        <f>INDEX(Input!$C$62:$AM$74,MATCH($A76,Input!$A$62:$A$74,0),MATCH(AD$61,Input!$C$61:$AM$61,0))</f>
        <v>8.8400000000000006E-3</v>
      </c>
      <c r="AE76" s="31">
        <f>IF(VLOOKUP($A76,Input!$A$62:$B$74,2,FALSE)="Percentage",AF$70,IF(VLOOKUP($A76,Input!$A$62:$B$74,2,FALSE)="Fixed","Fixed",(AE$70)))</f>
        <v>11</v>
      </c>
      <c r="AF76" s="25">
        <f t="shared" si="56"/>
        <v>0.1</v>
      </c>
      <c r="AH76" s="173">
        <f>INDEX(Input!$C$62:$AM$74,MATCH($A76,Input!$A$62:$A$74,0),MATCH(AH$61,Input!$C$61:$AM$61,0))</f>
        <v>8.8400000000000006E-3</v>
      </c>
      <c r="AI76" s="31">
        <f>IF(VLOOKUP($A76,Input!$A$62:$B$74,2,FALSE)="Percentage",AJ$70,IF(VLOOKUP($A76,Input!$A$62:$B$74,2,FALSE)="Fixed","Fixed",(AI$70)))</f>
        <v>11</v>
      </c>
      <c r="AJ76" s="25">
        <f t="shared" si="57"/>
        <v>0.1</v>
      </c>
      <c r="AL76" s="173">
        <f>INDEX(Input!$C$62:$AM$74,MATCH($A76,Input!$A$62:$A$74,0),MATCH(AL$61,Input!$C$61:$AM$61,0))</f>
        <v>8.8400000000000006E-3</v>
      </c>
      <c r="AM76" s="31">
        <f>IF(VLOOKUP($A76,Input!$A$62:$B$74,2,FALSE)="Percentage",AN$70,IF(VLOOKUP($A76,Input!$A$62:$B$74,2,FALSE)="Fixed","Fixed",(AM$70)))</f>
        <v>11</v>
      </c>
      <c r="AN76" s="25">
        <f t="shared" si="58"/>
        <v>0.1</v>
      </c>
      <c r="AP76" s="173">
        <f>INDEX(Input!$C$62:$AM$74,MATCH($A76,Input!$A$62:$A$74,0),MATCH(AP$61,Input!$C$61:$AM$61,0))</f>
        <v>8.8400000000000006E-3</v>
      </c>
      <c r="AQ76" s="31">
        <f>IF(VLOOKUP($A76,Input!$A$62:$B$74,2,FALSE)="Percentage",AR$70,IF(VLOOKUP($A76,Input!$A$62:$B$74,2,FALSE)="Fixed","Fixed",(AQ$70)))</f>
        <v>11</v>
      </c>
      <c r="AR76" s="25">
        <f t="shared" si="59"/>
        <v>0.1</v>
      </c>
      <c r="AS76" s="30"/>
      <c r="AT76" s="173">
        <f>INDEX(Input!$C$62:$AM$74,MATCH($A76,Input!$A$62:$A$74,0),MATCH(AT$61,Input!$C$61:$AM$61,0))</f>
        <v>8.8400000000000006E-3</v>
      </c>
      <c r="AU76" s="31">
        <f>IF(VLOOKUP($A76,Input!$A$62:$B$74,2,FALSE)="Percentage",AV$70,IF(VLOOKUP($A76,Input!$A$62:$B$74,2,FALSE)="Fixed","Fixed",(AU$70)))</f>
        <v>11</v>
      </c>
      <c r="AV76" s="25">
        <f t="shared" si="60"/>
        <v>0.1</v>
      </c>
    </row>
    <row r="77" spans="1:48" x14ac:dyDescent="0.55000000000000004">
      <c r="A77" t="str">
        <f t="shared" si="48"/>
        <v>2022 Surcredit</v>
      </c>
      <c r="B77" s="173">
        <f>INDEX(Input!$C$62:$AM$74,MATCH($A77,Input!$A$62:$A$74,0),MATCH(B$61,Input!$C$61:$AM$61,0))</f>
        <v>0</v>
      </c>
      <c r="C77" s="31" t="str">
        <f>IF(VLOOKUP($A77,Input!$A$62:$B$74,2,FALSE)="Percentage",D$70,IF(VLOOKUP($A77,Input!$A$62:$B$74,2,FALSE)="Fixed","Fixed",(C$70)))</f>
        <v>Fixed</v>
      </c>
      <c r="D77" s="25">
        <f t="shared" si="49"/>
        <v>0</v>
      </c>
      <c r="F77" s="173">
        <f>INDEX(Input!$C$62:$AM$74,MATCH($A77,Input!$A$62:$A$74,0),MATCH(F$61,Input!$C$61:$AM$61,0))</f>
        <v>0</v>
      </c>
      <c r="G77" s="31" t="str">
        <f>IF(VLOOKUP($A77,Input!$A$62:$B$74,2,FALSE)="Percentage",H$70,IF(VLOOKUP($A77,Input!$A$62:$B$74,2,FALSE)="Fixed","Fixed",(G$70)))</f>
        <v>Fixed</v>
      </c>
      <c r="H77" s="25">
        <f t="shared" si="50"/>
        <v>0</v>
      </c>
      <c r="J77" s="173">
        <f>INDEX(Input!$C$62:$AM$74,MATCH($A77,Input!$A$62:$A$74,0),MATCH(J$61,Input!$C$61:$AM$61,0))</f>
        <v>0</v>
      </c>
      <c r="K77" s="31" t="str">
        <f>IF(VLOOKUP($A77,Input!$A$62:$B$74,2,FALSE)="Percentage",L$70,IF(VLOOKUP($A77,Input!$A$62:$B$74,2,FALSE)="Fixed","Fixed",(K$70)))</f>
        <v>Fixed</v>
      </c>
      <c r="L77" s="25">
        <f t="shared" si="51"/>
        <v>0</v>
      </c>
      <c r="N77" s="173">
        <f>INDEX(Input!$C$62:$AM$74,MATCH($A77,Input!$A$62:$A$74,0),MATCH(N$61,Input!$C$61:$AM$61,0))</f>
        <v>0</v>
      </c>
      <c r="O77" s="31" t="str">
        <f>IF(VLOOKUP($A77,Input!$A$62:$B$74,2,FALSE)="Percentage",P$70,IF(VLOOKUP($A77,Input!$A$62:$B$74,2,FALSE)="Fixed","Fixed",(O$70)))</f>
        <v>Fixed</v>
      </c>
      <c r="P77" s="25">
        <f t="shared" si="52"/>
        <v>0</v>
      </c>
      <c r="R77" s="173">
        <f>INDEX(Input!$C$62:$AM$74,MATCH($A77,Input!$A$62:$A$74,0),MATCH(R$61,Input!$C$61:$AM$61,0))</f>
        <v>0</v>
      </c>
      <c r="S77" s="31" t="str">
        <f>IF(VLOOKUP($A77,Input!$A$62:$B$74,2,FALSE)="Percentage",T$70,IF(VLOOKUP($A77,Input!$A$62:$B$74,2,FALSE)="Fixed","Fixed",(S$70)))</f>
        <v>Fixed</v>
      </c>
      <c r="T77" s="25">
        <f t="shared" si="53"/>
        <v>0</v>
      </c>
      <c r="V77" s="173">
        <f>INDEX(Input!$C$62:$AM$74,MATCH($A77,Input!$A$62:$A$74,0),MATCH(V$61,Input!$C$61:$AM$61,0))</f>
        <v>0</v>
      </c>
      <c r="W77" s="31" t="str">
        <f>IF(VLOOKUP($A77,Input!$A$62:$B$74,2,FALSE)="Percentage",X$70,IF(VLOOKUP($A77,Input!$A$62:$B$74,2,FALSE)="Fixed","Fixed",(W$70)))</f>
        <v>Fixed</v>
      </c>
      <c r="X77" s="25">
        <f t="shared" si="54"/>
        <v>0</v>
      </c>
      <c r="Z77" s="173">
        <f>INDEX(Input!$C$62:$AM$74,MATCH($A77,Input!$A$62:$A$74,0),MATCH(Z$61,Input!$C$61:$AM$61,0))</f>
        <v>0</v>
      </c>
      <c r="AA77" s="31" t="str">
        <f>IF(VLOOKUP($A77,Input!$A$62:$B$74,2,FALSE)="Percentage",AB$70,IF(VLOOKUP($A77,Input!$A$62:$B$74,2,FALSE)="Fixed","Fixed",(AA$70)))</f>
        <v>Fixed</v>
      </c>
      <c r="AB77" s="25">
        <f t="shared" si="55"/>
        <v>0</v>
      </c>
      <c r="AD77" s="173">
        <f>INDEX(Input!$C$62:$AM$74,MATCH($A77,Input!$A$62:$A$74,0),MATCH(AD$61,Input!$C$61:$AM$61,0))</f>
        <v>0</v>
      </c>
      <c r="AE77" s="31" t="str">
        <f>IF(VLOOKUP($A77,Input!$A$62:$B$74,2,FALSE)="Percentage",AF$70,IF(VLOOKUP($A77,Input!$A$62:$B$74,2,FALSE)="Fixed","Fixed",(AE$70)))</f>
        <v>Fixed</v>
      </c>
      <c r="AF77" s="25">
        <f t="shared" si="56"/>
        <v>0</v>
      </c>
      <c r="AH77" s="173">
        <f>INDEX(Input!$C$62:$AM$74,MATCH($A77,Input!$A$62:$A$74,0),MATCH(AH$61,Input!$C$61:$AM$61,0))</f>
        <v>0</v>
      </c>
      <c r="AI77" s="31" t="str">
        <f>IF(VLOOKUP($A77,Input!$A$62:$B$74,2,FALSE)="Percentage",AJ$70,IF(VLOOKUP($A77,Input!$A$62:$B$74,2,FALSE)="Fixed","Fixed",(AI$70)))</f>
        <v>Fixed</v>
      </c>
      <c r="AJ77" s="25">
        <f t="shared" si="57"/>
        <v>0</v>
      </c>
      <c r="AL77" s="173">
        <f>INDEX(Input!$C$62:$AM$74,MATCH($A77,Input!$A$62:$A$74,0),MATCH(AL$61,Input!$C$61:$AM$61,0))</f>
        <v>0</v>
      </c>
      <c r="AM77" s="31" t="str">
        <f>IF(VLOOKUP($A77,Input!$A$62:$B$74,2,FALSE)="Percentage",AN$70,IF(VLOOKUP($A77,Input!$A$62:$B$74,2,FALSE)="Fixed","Fixed",(AM$70)))</f>
        <v>Fixed</v>
      </c>
      <c r="AN77" s="25">
        <f t="shared" si="58"/>
        <v>0</v>
      </c>
      <c r="AP77" s="173">
        <f>INDEX(Input!$C$62:$AM$74,MATCH($A77,Input!$A$62:$A$74,0),MATCH(AP$61,Input!$C$61:$AM$61,0))</f>
        <v>0</v>
      </c>
      <c r="AQ77" s="31" t="str">
        <f>IF(VLOOKUP($A77,Input!$A$62:$B$74,2,FALSE)="Percentage",AR$70,IF(VLOOKUP($A77,Input!$A$62:$B$74,2,FALSE)="Fixed","Fixed",(AQ$70)))</f>
        <v>Fixed</v>
      </c>
      <c r="AR77" s="25">
        <f t="shared" si="59"/>
        <v>0</v>
      </c>
      <c r="AS77" s="30"/>
      <c r="AT77" s="173">
        <f>INDEX(Input!$C$62:$AM$74,MATCH($A77,Input!$A$62:$A$74,0),MATCH(AT$61,Input!$C$61:$AM$61,0))</f>
        <v>0</v>
      </c>
      <c r="AU77" s="31" t="str">
        <f>IF(VLOOKUP($A77,Input!$A$62:$B$74,2,FALSE)="Percentage",AV$70,IF(VLOOKUP($A77,Input!$A$62:$B$74,2,FALSE)="Fixed","Fixed",(AU$70)))</f>
        <v>Fixed</v>
      </c>
      <c r="AV77" s="25">
        <f t="shared" si="60"/>
        <v>0</v>
      </c>
    </row>
    <row r="78" spans="1:48" x14ac:dyDescent="0.55000000000000004">
      <c r="A78" t="str">
        <f t="shared" si="48"/>
        <v>Interim Memo Account Surcharge</v>
      </c>
      <c r="B78" s="173">
        <f>INDEX(Input!$C$62:$AM$74,MATCH($A78,Input!$A$62:$A$74,0),MATCH(B$61,Input!$C$61:$AM$61,0))</f>
        <v>0.44080000000000003</v>
      </c>
      <c r="C78" s="31">
        <f>IF(VLOOKUP($A78,Input!$A$62:$B$74,2,FALSE)="Percentage",D$70,IF(VLOOKUP($A78,Input!$A$62:$B$74,2,FALSE)="Fixed","Fixed",(C$70)))</f>
        <v>11</v>
      </c>
      <c r="D78" s="25">
        <f t="shared" si="49"/>
        <v>4.8499999999999996</v>
      </c>
      <c r="F78" s="173">
        <f>INDEX(Input!$C$62:$AM$74,MATCH($A78,Input!$A$62:$A$74,0),MATCH(F$61,Input!$C$61:$AM$61,0))</f>
        <v>0.44080000000000003</v>
      </c>
      <c r="G78" s="31">
        <f>IF(VLOOKUP($A78,Input!$A$62:$B$74,2,FALSE)="Percentage",H$70,IF(VLOOKUP($A78,Input!$A$62:$B$74,2,FALSE)="Fixed","Fixed",(G$70)))</f>
        <v>11</v>
      </c>
      <c r="H78" s="25">
        <f t="shared" si="50"/>
        <v>4.8499999999999996</v>
      </c>
      <c r="J78" s="173">
        <f>INDEX(Input!$C$62:$AM$74,MATCH($A78,Input!$A$62:$A$74,0),MATCH(J$61,Input!$C$61:$AM$61,0))</f>
        <v>0.44080000000000003</v>
      </c>
      <c r="K78" s="31">
        <f>IF(VLOOKUP($A78,Input!$A$62:$B$74,2,FALSE)="Percentage",L$70,IF(VLOOKUP($A78,Input!$A$62:$B$74,2,FALSE)="Fixed","Fixed",(K$70)))</f>
        <v>11</v>
      </c>
      <c r="L78" s="25">
        <f t="shared" si="51"/>
        <v>4.8499999999999996</v>
      </c>
      <c r="N78" s="173">
        <f>INDEX(Input!$C$62:$AM$74,MATCH($A78,Input!$A$62:$A$74,0),MATCH(N$61,Input!$C$61:$AM$61,0))</f>
        <v>0.44080000000000003</v>
      </c>
      <c r="O78" s="31">
        <f>IF(VLOOKUP($A78,Input!$A$62:$B$74,2,FALSE)="Percentage",P$70,IF(VLOOKUP($A78,Input!$A$62:$B$74,2,FALSE)="Fixed","Fixed",(O$70)))</f>
        <v>11</v>
      </c>
      <c r="P78" s="25">
        <f t="shared" si="52"/>
        <v>4.8499999999999996</v>
      </c>
      <c r="R78" s="173">
        <f>INDEX(Input!$C$62:$AM$74,MATCH($A78,Input!$A$62:$A$74,0),MATCH(R$61,Input!$C$61:$AM$61,0))</f>
        <v>0.44080000000000003</v>
      </c>
      <c r="S78" s="31">
        <f>IF(VLOOKUP($A78,Input!$A$62:$B$74,2,FALSE)="Percentage",T$70,IF(VLOOKUP($A78,Input!$A$62:$B$74,2,FALSE)="Fixed","Fixed",(S$70)))</f>
        <v>11</v>
      </c>
      <c r="T78" s="25">
        <f t="shared" si="53"/>
        <v>4.8499999999999996</v>
      </c>
      <c r="V78" s="173">
        <f>INDEX(Input!$C$62:$AM$74,MATCH($A78,Input!$A$62:$A$74,0),MATCH(V$61,Input!$C$61:$AM$61,0))</f>
        <v>0.44080000000000003</v>
      </c>
      <c r="W78" s="31">
        <f>IF(VLOOKUP($A78,Input!$A$62:$B$74,2,FALSE)="Percentage",X$70,IF(VLOOKUP($A78,Input!$A$62:$B$74,2,FALSE)="Fixed","Fixed",(W$70)))</f>
        <v>11</v>
      </c>
      <c r="X78" s="25">
        <f t="shared" si="54"/>
        <v>4.8499999999999996</v>
      </c>
      <c r="Z78" s="173">
        <f>INDEX(Input!$C$62:$AM$74,MATCH($A78,Input!$A$62:$A$74,0),MATCH(Z$61,Input!$C$61:$AM$61,0))</f>
        <v>0.44080000000000003</v>
      </c>
      <c r="AA78" s="31">
        <f>IF(VLOOKUP($A78,Input!$A$62:$B$74,2,FALSE)="Percentage",AB$70,IF(VLOOKUP($A78,Input!$A$62:$B$74,2,FALSE)="Fixed","Fixed",(AA$70)))</f>
        <v>11</v>
      </c>
      <c r="AB78" s="25">
        <f t="shared" si="55"/>
        <v>4.8499999999999996</v>
      </c>
      <c r="AD78" s="173">
        <f>INDEX(Input!$C$62:$AM$74,MATCH($A78,Input!$A$62:$A$74,0),MATCH(AD$61,Input!$C$61:$AM$61,0))</f>
        <v>0.44080000000000003</v>
      </c>
      <c r="AE78" s="31">
        <f>IF(VLOOKUP($A78,Input!$A$62:$B$74,2,FALSE)="Percentage",AF$70,IF(VLOOKUP($A78,Input!$A$62:$B$74,2,FALSE)="Fixed","Fixed",(AE$70)))</f>
        <v>11</v>
      </c>
      <c r="AF78" s="25">
        <f t="shared" si="56"/>
        <v>4.8499999999999996</v>
      </c>
      <c r="AH78" s="173">
        <f>INDEX(Input!$C$62:$AM$74,MATCH($A78,Input!$A$62:$A$74,0),MATCH(AH$61,Input!$C$61:$AM$61,0))</f>
        <v>0.44080000000000003</v>
      </c>
      <c r="AI78" s="31">
        <f>IF(VLOOKUP($A78,Input!$A$62:$B$74,2,FALSE)="Percentage",AJ$70,IF(VLOOKUP($A78,Input!$A$62:$B$74,2,FALSE)="Fixed","Fixed",(AI$70)))</f>
        <v>11</v>
      </c>
      <c r="AJ78" s="25">
        <f t="shared" si="57"/>
        <v>4.8499999999999996</v>
      </c>
      <c r="AL78" s="173">
        <f>INDEX(Input!$C$62:$AM$74,MATCH($A78,Input!$A$62:$A$74,0),MATCH(AL$61,Input!$C$61:$AM$61,0))</f>
        <v>0.44080000000000003</v>
      </c>
      <c r="AM78" s="31">
        <f>IF(VLOOKUP($A78,Input!$A$62:$B$74,2,FALSE)="Percentage",AN$70,IF(VLOOKUP($A78,Input!$A$62:$B$74,2,FALSE)="Fixed","Fixed",(AM$70)))</f>
        <v>11</v>
      </c>
      <c r="AN78" s="25">
        <f t="shared" si="58"/>
        <v>4.8499999999999996</v>
      </c>
      <c r="AP78" s="173">
        <f>INDEX(Input!$C$62:$AM$74,MATCH($A78,Input!$A$62:$A$74,0),MATCH(AP$61,Input!$C$61:$AM$61,0))</f>
        <v>0.44080000000000003</v>
      </c>
      <c r="AQ78" s="31">
        <f>IF(VLOOKUP($A78,Input!$A$62:$B$74,2,FALSE)="Percentage",AR$70,IF(VLOOKUP($A78,Input!$A$62:$B$74,2,FALSE)="Fixed","Fixed",(AQ$70)))</f>
        <v>11</v>
      </c>
      <c r="AR78" s="25">
        <f t="shared" si="59"/>
        <v>4.8499999999999996</v>
      </c>
      <c r="AS78" s="30"/>
      <c r="AT78" s="173">
        <f>INDEX(Input!$C$62:$AM$74,MATCH($A78,Input!$A$62:$A$74,0),MATCH(AT$61,Input!$C$61:$AM$61,0))</f>
        <v>0.44080000000000003</v>
      </c>
      <c r="AU78" s="31">
        <f>IF(VLOOKUP($A78,Input!$A$62:$B$74,2,FALSE)="Percentage",AV$70,IF(VLOOKUP($A78,Input!$A$62:$B$74,2,FALSE)="Fixed","Fixed",(AU$70)))</f>
        <v>11</v>
      </c>
      <c r="AV78" s="25">
        <f t="shared" si="60"/>
        <v>4.8499999999999996</v>
      </c>
    </row>
    <row r="79" spans="1:48" x14ac:dyDescent="0.55000000000000004">
      <c r="A79">
        <f t="shared" si="48"/>
        <v>0</v>
      </c>
      <c r="B79" s="173">
        <f>INDEX(Input!$C$62:$AM$74,MATCH($A79,Input!$A$62:$A$74,0),MATCH(B$61,Input!$C$61:$AM$61,0))</f>
        <v>0</v>
      </c>
      <c r="C79" s="31">
        <f>IF(VLOOKUP($A79,Input!$A$62:$B$74,2,FALSE)="Percentage",D$70,IF(VLOOKUP($A79,Input!$A$62:$B$74,2,FALSE)="Fixed","Fixed",(C$70)))</f>
        <v>11</v>
      </c>
      <c r="D79" s="25">
        <f t="shared" si="49"/>
        <v>0</v>
      </c>
      <c r="F79" s="173">
        <f>INDEX(Input!$C$62:$AM$74,MATCH($A79,Input!$A$62:$A$74,0),MATCH(F$61,Input!$C$61:$AM$61,0))</f>
        <v>0</v>
      </c>
      <c r="G79" s="31">
        <f>IF(VLOOKUP($A79,Input!$A$62:$B$74,2,FALSE)="Percentage",H$70,IF(VLOOKUP($A79,Input!$A$62:$B$74,2,FALSE)="Fixed","Fixed",(G$70)))</f>
        <v>11</v>
      </c>
      <c r="H79" s="25">
        <f t="shared" si="50"/>
        <v>0</v>
      </c>
      <c r="J79" s="173">
        <f>INDEX(Input!$C$62:$AM$74,MATCH($A79,Input!$A$62:$A$74,0),MATCH(J$61,Input!$C$61:$AM$61,0))</f>
        <v>0</v>
      </c>
      <c r="K79" s="31">
        <f>IF(VLOOKUP($A79,Input!$A$62:$B$74,2,FALSE)="Percentage",L$70,IF(VLOOKUP($A79,Input!$A$62:$B$74,2,FALSE)="Fixed","Fixed",(K$70)))</f>
        <v>11</v>
      </c>
      <c r="L79" s="25">
        <f t="shared" si="51"/>
        <v>0</v>
      </c>
      <c r="N79" s="173">
        <f>INDEX(Input!$C$62:$AM$74,MATCH($A79,Input!$A$62:$A$74,0),MATCH(N$61,Input!$C$61:$AM$61,0))</f>
        <v>0</v>
      </c>
      <c r="O79" s="31">
        <f>IF(VLOOKUP($A79,Input!$A$62:$B$74,2,FALSE)="Percentage",P$70,IF(VLOOKUP($A79,Input!$A$62:$B$74,2,FALSE)="Fixed","Fixed",(O$70)))</f>
        <v>11</v>
      </c>
      <c r="P79" s="25">
        <f t="shared" si="52"/>
        <v>0</v>
      </c>
      <c r="R79" s="173">
        <f>INDEX(Input!$C$62:$AM$74,MATCH($A79,Input!$A$62:$A$74,0),MATCH(R$61,Input!$C$61:$AM$61,0))</f>
        <v>0</v>
      </c>
      <c r="S79" s="31">
        <f>IF(VLOOKUP($A79,Input!$A$62:$B$74,2,FALSE)="Percentage",T$70,IF(VLOOKUP($A79,Input!$A$62:$B$74,2,FALSE)="Fixed","Fixed",(S$70)))</f>
        <v>11</v>
      </c>
      <c r="T79" s="25">
        <f t="shared" si="53"/>
        <v>0</v>
      </c>
      <c r="V79" s="173">
        <f>INDEX(Input!$C$62:$AM$74,MATCH($A79,Input!$A$62:$A$74,0),MATCH(V$61,Input!$C$61:$AM$61,0))</f>
        <v>0</v>
      </c>
      <c r="W79" s="31">
        <f>IF(VLOOKUP($A79,Input!$A$62:$B$74,2,FALSE)="Percentage",X$70,IF(VLOOKUP($A79,Input!$A$62:$B$74,2,FALSE)="Fixed","Fixed",(W$70)))</f>
        <v>11</v>
      </c>
      <c r="X79" s="25">
        <f t="shared" si="54"/>
        <v>0</v>
      </c>
      <c r="Z79" s="173">
        <f>INDEX(Input!$C$62:$AM$74,MATCH($A79,Input!$A$62:$A$74,0),MATCH(Z$61,Input!$C$61:$AM$61,0))</f>
        <v>0</v>
      </c>
      <c r="AA79" s="31">
        <f>IF(VLOOKUP($A79,Input!$A$62:$B$74,2,FALSE)="Percentage",AB$70,IF(VLOOKUP($A79,Input!$A$62:$B$74,2,FALSE)="Fixed","Fixed",(AA$70)))</f>
        <v>11</v>
      </c>
      <c r="AB79" s="25">
        <f t="shared" si="55"/>
        <v>0</v>
      </c>
      <c r="AD79" s="173">
        <f>INDEX(Input!$C$62:$AM$74,MATCH($A79,Input!$A$62:$A$74,0),MATCH(AD$61,Input!$C$61:$AM$61,0))</f>
        <v>0</v>
      </c>
      <c r="AE79" s="31">
        <f>IF(VLOOKUP($A79,Input!$A$62:$B$74,2,FALSE)="Percentage",AF$70,IF(VLOOKUP($A79,Input!$A$62:$B$74,2,FALSE)="Fixed","Fixed",(AE$70)))</f>
        <v>11</v>
      </c>
      <c r="AF79" s="25">
        <f t="shared" si="56"/>
        <v>0</v>
      </c>
      <c r="AH79" s="173">
        <f>INDEX(Input!$C$62:$AM$74,MATCH($A79,Input!$A$62:$A$74,0),MATCH(AH$61,Input!$C$61:$AM$61,0))</f>
        <v>0</v>
      </c>
      <c r="AI79" s="31">
        <f>IF(VLOOKUP($A79,Input!$A$62:$B$74,2,FALSE)="Percentage",AJ$70,IF(VLOOKUP($A79,Input!$A$62:$B$74,2,FALSE)="Fixed","Fixed",(AI$70)))</f>
        <v>11</v>
      </c>
      <c r="AJ79" s="25">
        <f t="shared" si="57"/>
        <v>0</v>
      </c>
      <c r="AL79" s="173">
        <f>INDEX(Input!$C$62:$AM$74,MATCH($A79,Input!$A$62:$A$74,0),MATCH(AL$61,Input!$C$61:$AM$61,0))</f>
        <v>0</v>
      </c>
      <c r="AM79" s="31">
        <f>IF(VLOOKUP($A79,Input!$A$62:$B$74,2,FALSE)="Percentage",AN$70,IF(VLOOKUP($A79,Input!$A$62:$B$74,2,FALSE)="Fixed","Fixed",(AM$70)))</f>
        <v>11</v>
      </c>
      <c r="AN79" s="25">
        <f t="shared" si="58"/>
        <v>0</v>
      </c>
      <c r="AP79" s="173">
        <f>INDEX(Input!$C$62:$AM$74,MATCH($A79,Input!$A$62:$A$74,0),MATCH(AP$61,Input!$C$61:$AM$61,0))</f>
        <v>0</v>
      </c>
      <c r="AQ79" s="31">
        <f>IF(VLOOKUP($A79,Input!$A$62:$B$74,2,FALSE)="Percentage",AR$70,IF(VLOOKUP($A79,Input!$A$62:$B$74,2,FALSE)="Fixed","Fixed",(AQ$70)))</f>
        <v>11</v>
      </c>
      <c r="AR79" s="25">
        <f t="shared" si="59"/>
        <v>0</v>
      </c>
      <c r="AS79" s="30"/>
      <c r="AT79" s="173">
        <f>INDEX(Input!$C$62:$AM$74,MATCH($A79,Input!$A$62:$A$74,0),MATCH(AT$61,Input!$C$61:$AM$61,0))</f>
        <v>0</v>
      </c>
      <c r="AU79" s="31">
        <f>IF(VLOOKUP($A79,Input!$A$62:$B$74,2,FALSE)="Percentage",AV$70,IF(VLOOKUP($A79,Input!$A$62:$B$74,2,FALSE)="Fixed","Fixed",(AU$70)))</f>
        <v>11</v>
      </c>
      <c r="AV79" s="25">
        <f t="shared" si="60"/>
        <v>0</v>
      </c>
    </row>
    <row r="80" spans="1:48" x14ac:dyDescent="0.55000000000000004">
      <c r="A80">
        <f t="shared" ref="A80:A85" si="61">A32</f>
        <v>0</v>
      </c>
      <c r="B80" s="173">
        <f>INDEX(Input!$C$62:$AM$74,MATCH($A80,Input!$A$62:$A$74,0),MATCH(B$61,Input!$C$61:$AM$61,0))</f>
        <v>0</v>
      </c>
      <c r="C80" s="31">
        <f>IF(VLOOKUP($A80,Input!$A$62:$B$74,2,FALSE)="Percentage",D$70,IF(VLOOKUP($A80,Input!$A$62:$B$74,2,FALSE)="Fixed","Fixed",(C$70)))</f>
        <v>11</v>
      </c>
      <c r="D80" s="25">
        <f t="shared" si="49"/>
        <v>0</v>
      </c>
      <c r="F80" s="173">
        <f>INDEX(Input!$C$62:$AM$74,MATCH($A80,Input!$A$62:$A$74,0),MATCH(F$61,Input!$C$61:$AM$61,0))</f>
        <v>0</v>
      </c>
      <c r="G80" s="31">
        <f>IF(VLOOKUP($A80,Input!$A$62:$B$74,2,FALSE)="Percentage",H$70,IF(VLOOKUP($A80,Input!$A$62:$B$74,2,FALSE)="Fixed","Fixed",(G$70)))</f>
        <v>11</v>
      </c>
      <c r="H80" s="25">
        <f t="shared" si="50"/>
        <v>0</v>
      </c>
      <c r="J80" s="173">
        <f>INDEX(Input!$C$62:$AM$74,MATCH($A80,Input!$A$62:$A$74,0),MATCH(J$61,Input!$C$61:$AM$61,0))</f>
        <v>0</v>
      </c>
      <c r="K80" s="31">
        <f>IF(VLOOKUP($A80,Input!$A$62:$B$74,2,FALSE)="Percentage",L$70,IF(VLOOKUP($A80,Input!$A$62:$B$74,2,FALSE)="Fixed","Fixed",(K$70)))</f>
        <v>11</v>
      </c>
      <c r="L80" s="25">
        <f t="shared" si="51"/>
        <v>0</v>
      </c>
      <c r="N80" s="173">
        <f>INDEX(Input!$C$62:$AM$74,MATCH($A80,Input!$A$62:$A$74,0),MATCH(N$61,Input!$C$61:$AM$61,0))</f>
        <v>0</v>
      </c>
      <c r="O80" s="31">
        <f>IF(VLOOKUP($A80,Input!$A$62:$B$74,2,FALSE)="Percentage",P$70,IF(VLOOKUP($A80,Input!$A$62:$B$74,2,FALSE)="Fixed","Fixed",(O$70)))</f>
        <v>11</v>
      </c>
      <c r="P80" s="25">
        <f t="shared" si="52"/>
        <v>0</v>
      </c>
      <c r="R80" s="173">
        <f>INDEX(Input!$C$62:$AM$74,MATCH($A80,Input!$A$62:$A$74,0),MATCH(R$61,Input!$C$61:$AM$61,0))</f>
        <v>0</v>
      </c>
      <c r="S80" s="31">
        <f>IF(VLOOKUP($A80,Input!$A$62:$B$74,2,FALSE)="Percentage",T$70,IF(VLOOKUP($A80,Input!$A$62:$B$74,2,FALSE)="Fixed","Fixed",(S$70)))</f>
        <v>11</v>
      </c>
      <c r="T80" s="25">
        <f t="shared" si="53"/>
        <v>0</v>
      </c>
      <c r="V80" s="173">
        <f>INDEX(Input!$C$62:$AM$74,MATCH($A80,Input!$A$62:$A$74,0),MATCH(V$61,Input!$C$61:$AM$61,0))</f>
        <v>0</v>
      </c>
      <c r="W80" s="31">
        <f>IF(VLOOKUP($A80,Input!$A$62:$B$74,2,FALSE)="Percentage",X$70,IF(VLOOKUP($A80,Input!$A$62:$B$74,2,FALSE)="Fixed","Fixed",(W$70)))</f>
        <v>11</v>
      </c>
      <c r="X80" s="25">
        <f t="shared" si="54"/>
        <v>0</v>
      </c>
      <c r="Z80" s="173">
        <f>INDEX(Input!$C$62:$AM$74,MATCH($A80,Input!$A$62:$A$74,0),MATCH(Z$61,Input!$C$61:$AM$61,0))</f>
        <v>0</v>
      </c>
      <c r="AA80" s="31">
        <f>IF(VLOOKUP($A80,Input!$A$62:$B$74,2,FALSE)="Percentage",AB$70,IF(VLOOKUP($A80,Input!$A$62:$B$74,2,FALSE)="Fixed","Fixed",(AA$70)))</f>
        <v>11</v>
      </c>
      <c r="AB80" s="25">
        <f t="shared" si="55"/>
        <v>0</v>
      </c>
      <c r="AD80" s="173">
        <f>INDEX(Input!$C$62:$AM$74,MATCH($A80,Input!$A$62:$A$74,0),MATCH(AD$61,Input!$C$61:$AM$61,0))</f>
        <v>0</v>
      </c>
      <c r="AE80" s="31">
        <f>IF(VLOOKUP($A80,Input!$A$62:$B$74,2,FALSE)="Percentage",AF$70,IF(VLOOKUP($A80,Input!$A$62:$B$74,2,FALSE)="Fixed","Fixed",(AE$70)))</f>
        <v>11</v>
      </c>
      <c r="AF80" s="25">
        <f t="shared" si="56"/>
        <v>0</v>
      </c>
      <c r="AH80" s="173">
        <f>INDEX(Input!$C$62:$AM$74,MATCH($A80,Input!$A$62:$A$74,0),MATCH(AH$61,Input!$C$61:$AM$61,0))</f>
        <v>0</v>
      </c>
      <c r="AI80" s="31">
        <f>IF(VLOOKUP($A80,Input!$A$62:$B$74,2,FALSE)="Percentage",AJ$70,IF(VLOOKUP($A80,Input!$A$62:$B$74,2,FALSE)="Fixed","Fixed",(AI$70)))</f>
        <v>11</v>
      </c>
      <c r="AJ80" s="25">
        <f t="shared" si="57"/>
        <v>0</v>
      </c>
      <c r="AL80" s="173">
        <f>INDEX(Input!$C$62:$AM$74,MATCH($A80,Input!$A$62:$A$74,0),MATCH(AL$61,Input!$C$61:$AM$61,0))</f>
        <v>0</v>
      </c>
      <c r="AM80" s="31">
        <f>IF(VLOOKUP($A80,Input!$A$62:$B$74,2,FALSE)="Percentage",AN$70,IF(VLOOKUP($A80,Input!$A$62:$B$74,2,FALSE)="Fixed","Fixed",(AM$70)))</f>
        <v>11</v>
      </c>
      <c r="AN80" s="25">
        <f t="shared" si="58"/>
        <v>0</v>
      </c>
      <c r="AP80" s="173">
        <f>INDEX(Input!$C$62:$AM$74,MATCH($A80,Input!$A$62:$A$74,0),MATCH(AP$61,Input!$C$61:$AM$61,0))</f>
        <v>0</v>
      </c>
      <c r="AQ80" s="31">
        <f>IF(VLOOKUP($A80,Input!$A$62:$B$74,2,FALSE)="Percentage",AR$70,IF(VLOOKUP($A80,Input!$A$62:$B$74,2,FALSE)="Fixed","Fixed",(AQ$70)))</f>
        <v>11</v>
      </c>
      <c r="AR80" s="25">
        <f t="shared" si="59"/>
        <v>0</v>
      </c>
      <c r="AS80" s="30"/>
      <c r="AT80" s="173">
        <f>INDEX(Input!$C$62:$AM$74,MATCH($A80,Input!$A$62:$A$74,0),MATCH(AT$61,Input!$C$61:$AM$61,0))</f>
        <v>0</v>
      </c>
      <c r="AU80" s="31">
        <f>IF(VLOOKUP($A80,Input!$A$62:$B$74,2,FALSE)="Percentage",AV$70,IF(VLOOKUP($A80,Input!$A$62:$B$74,2,FALSE)="Fixed","Fixed",(AU$70)))</f>
        <v>11</v>
      </c>
      <c r="AV80" s="25">
        <f t="shared" si="60"/>
        <v>0</v>
      </c>
    </row>
    <row r="81" spans="1:48" x14ac:dyDescent="0.55000000000000004">
      <c r="A81">
        <f t="shared" si="61"/>
        <v>0</v>
      </c>
      <c r="B81" s="173">
        <f>INDEX(Input!$C$62:$AM$74,MATCH($A81,Input!$A$62:$A$74,0),MATCH(B$61,Input!$C$61:$AM$61,0))</f>
        <v>0</v>
      </c>
      <c r="C81" s="31">
        <f>IF(VLOOKUP($A81,Input!$A$62:$B$74,2,FALSE)="Percentage",D$70,IF(VLOOKUP($A81,Input!$A$62:$B$74,2,FALSE)="Fixed","Fixed",(C$70)))</f>
        <v>11</v>
      </c>
      <c r="D81" s="25">
        <f t="shared" si="49"/>
        <v>0</v>
      </c>
      <c r="F81" s="173">
        <f>INDEX(Input!$C$62:$AM$74,MATCH($A81,Input!$A$62:$A$74,0),MATCH(F$61,Input!$C$61:$AM$61,0))</f>
        <v>0</v>
      </c>
      <c r="G81" s="31">
        <f>IF(VLOOKUP($A81,Input!$A$62:$B$74,2,FALSE)="Percentage",H$70,IF(VLOOKUP($A81,Input!$A$62:$B$74,2,FALSE)="Fixed","Fixed",(G$70)))</f>
        <v>11</v>
      </c>
      <c r="H81" s="25">
        <f t="shared" si="50"/>
        <v>0</v>
      </c>
      <c r="J81" s="173">
        <f>INDEX(Input!$C$62:$AM$74,MATCH($A81,Input!$A$62:$A$74,0),MATCH(J$61,Input!$C$61:$AM$61,0))</f>
        <v>0</v>
      </c>
      <c r="K81" s="31">
        <f>IF(VLOOKUP($A81,Input!$A$62:$B$74,2,FALSE)="Percentage",L$70,IF(VLOOKUP($A81,Input!$A$62:$B$74,2,FALSE)="Fixed","Fixed",(K$70)))</f>
        <v>11</v>
      </c>
      <c r="L81" s="25">
        <f t="shared" si="51"/>
        <v>0</v>
      </c>
      <c r="N81" s="173">
        <f>INDEX(Input!$C$62:$AM$74,MATCH($A81,Input!$A$62:$A$74,0),MATCH(N$61,Input!$C$61:$AM$61,0))</f>
        <v>0</v>
      </c>
      <c r="O81" s="31">
        <f>IF(VLOOKUP($A81,Input!$A$62:$B$74,2,FALSE)="Percentage",P$70,IF(VLOOKUP($A81,Input!$A$62:$B$74,2,FALSE)="Fixed","Fixed",(O$70)))</f>
        <v>11</v>
      </c>
      <c r="P81" s="25">
        <f t="shared" si="52"/>
        <v>0</v>
      </c>
      <c r="R81" s="173">
        <f>INDEX(Input!$C$62:$AM$74,MATCH($A81,Input!$A$62:$A$74,0),MATCH(R$61,Input!$C$61:$AM$61,0))</f>
        <v>0</v>
      </c>
      <c r="S81" s="31">
        <f>IF(VLOOKUP($A81,Input!$A$62:$B$74,2,FALSE)="Percentage",T$70,IF(VLOOKUP($A81,Input!$A$62:$B$74,2,FALSE)="Fixed","Fixed",(S$70)))</f>
        <v>11</v>
      </c>
      <c r="T81" s="25">
        <f t="shared" si="53"/>
        <v>0</v>
      </c>
      <c r="V81" s="173">
        <f>INDEX(Input!$C$62:$AM$74,MATCH($A81,Input!$A$62:$A$74,0),MATCH(V$61,Input!$C$61:$AM$61,0))</f>
        <v>0</v>
      </c>
      <c r="W81" s="31">
        <f>IF(VLOOKUP($A81,Input!$A$62:$B$74,2,FALSE)="Percentage",X$70,IF(VLOOKUP($A81,Input!$A$62:$B$74,2,FALSE)="Fixed","Fixed",(W$70)))</f>
        <v>11</v>
      </c>
      <c r="X81" s="25">
        <f t="shared" si="54"/>
        <v>0</v>
      </c>
      <c r="Z81" s="173">
        <f>INDEX(Input!$C$62:$AM$74,MATCH($A81,Input!$A$62:$A$74,0),MATCH(Z$61,Input!$C$61:$AM$61,0))</f>
        <v>0</v>
      </c>
      <c r="AA81" s="31">
        <f>IF(VLOOKUP($A81,Input!$A$62:$B$74,2,FALSE)="Percentage",AB$70,IF(VLOOKUP($A81,Input!$A$62:$B$74,2,FALSE)="Fixed","Fixed",(AA$70)))</f>
        <v>11</v>
      </c>
      <c r="AB81" s="25">
        <f t="shared" si="55"/>
        <v>0</v>
      </c>
      <c r="AD81" s="173">
        <f>INDEX(Input!$C$62:$AM$74,MATCH($A81,Input!$A$62:$A$74,0),MATCH(AD$61,Input!$C$61:$AM$61,0))</f>
        <v>0</v>
      </c>
      <c r="AE81" s="31">
        <f>IF(VLOOKUP($A81,Input!$A$62:$B$74,2,FALSE)="Percentage",AF$70,IF(VLOOKUP($A81,Input!$A$62:$B$74,2,FALSE)="Fixed","Fixed",(AE$70)))</f>
        <v>11</v>
      </c>
      <c r="AF81" s="25">
        <f t="shared" si="56"/>
        <v>0</v>
      </c>
      <c r="AH81" s="173">
        <f>INDEX(Input!$C$62:$AM$74,MATCH($A81,Input!$A$62:$A$74,0),MATCH(AH$61,Input!$C$61:$AM$61,0))</f>
        <v>0</v>
      </c>
      <c r="AI81" s="31">
        <f>IF(VLOOKUP($A81,Input!$A$62:$B$74,2,FALSE)="Percentage",AJ$70,IF(VLOOKUP($A81,Input!$A$62:$B$74,2,FALSE)="Fixed","Fixed",(AI$70)))</f>
        <v>11</v>
      </c>
      <c r="AJ81" s="25">
        <f t="shared" si="57"/>
        <v>0</v>
      </c>
      <c r="AL81" s="173">
        <f>INDEX(Input!$C$62:$AM$74,MATCH($A81,Input!$A$62:$A$74,0),MATCH(AL$61,Input!$C$61:$AM$61,0))</f>
        <v>0</v>
      </c>
      <c r="AM81" s="31">
        <f>IF(VLOOKUP($A81,Input!$A$62:$B$74,2,FALSE)="Percentage",AN$70,IF(VLOOKUP($A81,Input!$A$62:$B$74,2,FALSE)="Fixed","Fixed",(AM$70)))</f>
        <v>11</v>
      </c>
      <c r="AN81" s="25">
        <f t="shared" si="58"/>
        <v>0</v>
      </c>
      <c r="AP81" s="173">
        <f>INDEX(Input!$C$62:$AM$74,MATCH($A81,Input!$A$62:$A$74,0),MATCH(AP$61,Input!$C$61:$AM$61,0))</f>
        <v>0</v>
      </c>
      <c r="AQ81" s="31">
        <f>IF(VLOOKUP($A81,Input!$A$62:$B$74,2,FALSE)="Percentage",AR$70,IF(VLOOKUP($A81,Input!$A$62:$B$74,2,FALSE)="Fixed","Fixed",(AQ$70)))</f>
        <v>11</v>
      </c>
      <c r="AR81" s="25">
        <f t="shared" si="59"/>
        <v>0</v>
      </c>
      <c r="AS81" s="30"/>
      <c r="AT81" s="173">
        <f>INDEX(Input!$C$62:$AM$74,MATCH($A81,Input!$A$62:$A$74,0),MATCH(AT$61,Input!$C$61:$AM$61,0))</f>
        <v>0</v>
      </c>
      <c r="AU81" s="31">
        <f>IF(VLOOKUP($A81,Input!$A$62:$B$74,2,FALSE)="Percentage",AV$70,IF(VLOOKUP($A81,Input!$A$62:$B$74,2,FALSE)="Fixed","Fixed",(AU$70)))</f>
        <v>11</v>
      </c>
      <c r="AV81" s="25">
        <f t="shared" si="60"/>
        <v>0</v>
      </c>
    </row>
    <row r="82" spans="1:48" x14ac:dyDescent="0.55000000000000004">
      <c r="A82">
        <f t="shared" si="61"/>
        <v>0</v>
      </c>
      <c r="B82" s="173">
        <f>INDEX(Input!$C$62:$AM$74,MATCH($A82,Input!$A$62:$A$74,0),MATCH(B$61,Input!$C$61:$AM$61,0))</f>
        <v>0</v>
      </c>
      <c r="C82" s="31">
        <f>IF(VLOOKUP($A82,Input!$A$62:$B$74,2,FALSE)="Percentage",D$70,IF(VLOOKUP($A82,Input!$A$62:$B$74,2,FALSE)="Fixed","Fixed",(C$70)))</f>
        <v>11</v>
      </c>
      <c r="D82" s="25">
        <f t="shared" si="49"/>
        <v>0</v>
      </c>
      <c r="F82" s="173">
        <f>INDEX(Input!$C$62:$AM$74,MATCH($A82,Input!$A$62:$A$74,0),MATCH(F$61,Input!$C$61:$AM$61,0))</f>
        <v>0</v>
      </c>
      <c r="G82" s="31">
        <f>IF(VLOOKUP($A82,Input!$A$62:$B$74,2,FALSE)="Percentage",H$70,IF(VLOOKUP($A82,Input!$A$62:$B$74,2,FALSE)="Fixed","Fixed",(G$70)))</f>
        <v>11</v>
      </c>
      <c r="H82" s="25">
        <f t="shared" si="50"/>
        <v>0</v>
      </c>
      <c r="J82" s="173">
        <f>INDEX(Input!$C$62:$AM$74,MATCH($A82,Input!$A$62:$A$74,0),MATCH(J$61,Input!$C$61:$AM$61,0))</f>
        <v>0</v>
      </c>
      <c r="K82" s="31">
        <f>IF(VLOOKUP($A82,Input!$A$62:$B$74,2,FALSE)="Percentage",L$70,IF(VLOOKUP($A82,Input!$A$62:$B$74,2,FALSE)="Fixed","Fixed",(K$70)))</f>
        <v>11</v>
      </c>
      <c r="L82" s="25">
        <f t="shared" si="51"/>
        <v>0</v>
      </c>
      <c r="N82" s="173">
        <f>INDEX(Input!$C$62:$AM$74,MATCH($A82,Input!$A$62:$A$74,0),MATCH(N$61,Input!$C$61:$AM$61,0))</f>
        <v>0</v>
      </c>
      <c r="O82" s="31">
        <f>IF(VLOOKUP($A82,Input!$A$62:$B$74,2,FALSE)="Percentage",P$70,IF(VLOOKUP($A82,Input!$A$62:$B$74,2,FALSE)="Fixed","Fixed",(O$70)))</f>
        <v>11</v>
      </c>
      <c r="P82" s="25">
        <f t="shared" si="52"/>
        <v>0</v>
      </c>
      <c r="R82" s="173">
        <f>INDEX(Input!$C$62:$AM$74,MATCH($A82,Input!$A$62:$A$74,0),MATCH(R$61,Input!$C$61:$AM$61,0))</f>
        <v>0</v>
      </c>
      <c r="S82" s="31">
        <f>IF(VLOOKUP($A82,Input!$A$62:$B$74,2,FALSE)="Percentage",T$70,IF(VLOOKUP($A82,Input!$A$62:$B$74,2,FALSE)="Fixed","Fixed",(S$70)))</f>
        <v>11</v>
      </c>
      <c r="T82" s="25">
        <f t="shared" si="53"/>
        <v>0</v>
      </c>
      <c r="V82" s="173">
        <f>INDEX(Input!$C$62:$AM$74,MATCH($A82,Input!$A$62:$A$74,0),MATCH(V$61,Input!$C$61:$AM$61,0))</f>
        <v>0</v>
      </c>
      <c r="W82" s="31">
        <f>IF(VLOOKUP($A82,Input!$A$62:$B$74,2,FALSE)="Percentage",X$70,IF(VLOOKUP($A82,Input!$A$62:$B$74,2,FALSE)="Fixed","Fixed",(W$70)))</f>
        <v>11</v>
      </c>
      <c r="X82" s="25">
        <f t="shared" si="54"/>
        <v>0</v>
      </c>
      <c r="Z82" s="173">
        <f>INDEX(Input!$C$62:$AM$74,MATCH($A82,Input!$A$62:$A$74,0),MATCH(Z$61,Input!$C$61:$AM$61,0))</f>
        <v>0</v>
      </c>
      <c r="AA82" s="31">
        <f>IF(VLOOKUP($A82,Input!$A$62:$B$74,2,FALSE)="Percentage",AB$70,IF(VLOOKUP($A82,Input!$A$62:$B$74,2,FALSE)="Fixed","Fixed",(AA$70)))</f>
        <v>11</v>
      </c>
      <c r="AB82" s="25">
        <f t="shared" si="55"/>
        <v>0</v>
      </c>
      <c r="AD82" s="173">
        <f>INDEX(Input!$C$62:$AM$74,MATCH($A82,Input!$A$62:$A$74,0),MATCH(AD$61,Input!$C$61:$AM$61,0))</f>
        <v>0</v>
      </c>
      <c r="AE82" s="31">
        <f>IF(VLOOKUP($A82,Input!$A$62:$B$74,2,FALSE)="Percentage",AF$70,IF(VLOOKUP($A82,Input!$A$62:$B$74,2,FALSE)="Fixed","Fixed",(AE$70)))</f>
        <v>11</v>
      </c>
      <c r="AF82" s="25">
        <f t="shared" si="56"/>
        <v>0</v>
      </c>
      <c r="AH82" s="173">
        <f>INDEX(Input!$C$62:$AM$74,MATCH($A82,Input!$A$62:$A$74,0),MATCH(AH$61,Input!$C$61:$AM$61,0))</f>
        <v>0</v>
      </c>
      <c r="AI82" s="31">
        <f>IF(VLOOKUP($A82,Input!$A$62:$B$74,2,FALSE)="Percentage",AJ$70,IF(VLOOKUP($A82,Input!$A$62:$B$74,2,FALSE)="Fixed","Fixed",(AI$70)))</f>
        <v>11</v>
      </c>
      <c r="AJ82" s="25">
        <f t="shared" si="57"/>
        <v>0</v>
      </c>
      <c r="AL82" s="173">
        <f>INDEX(Input!$C$62:$AM$74,MATCH($A82,Input!$A$62:$A$74,0),MATCH(AL$61,Input!$C$61:$AM$61,0))</f>
        <v>0</v>
      </c>
      <c r="AM82" s="31">
        <f>IF(VLOOKUP($A82,Input!$A$62:$B$74,2,FALSE)="Percentage",AN$70,IF(VLOOKUP($A82,Input!$A$62:$B$74,2,FALSE)="Fixed","Fixed",(AM$70)))</f>
        <v>11</v>
      </c>
      <c r="AN82" s="25">
        <f t="shared" si="58"/>
        <v>0</v>
      </c>
      <c r="AP82" s="173">
        <f>INDEX(Input!$C$62:$AM$74,MATCH($A82,Input!$A$62:$A$74,0),MATCH(AP$61,Input!$C$61:$AM$61,0))</f>
        <v>0</v>
      </c>
      <c r="AQ82" s="31">
        <f>IF(VLOOKUP($A82,Input!$A$62:$B$74,2,FALSE)="Percentage",AR$70,IF(VLOOKUP($A82,Input!$A$62:$B$74,2,FALSE)="Fixed","Fixed",(AQ$70)))</f>
        <v>11</v>
      </c>
      <c r="AR82" s="25">
        <f t="shared" si="59"/>
        <v>0</v>
      </c>
      <c r="AS82" s="30"/>
      <c r="AT82" s="173">
        <f>INDEX(Input!$C$62:$AM$74,MATCH($A82,Input!$A$62:$A$74,0),MATCH(AT$61,Input!$C$61:$AM$61,0))</f>
        <v>0</v>
      </c>
      <c r="AU82" s="31">
        <f>IF(VLOOKUP($A82,Input!$A$62:$B$74,2,FALSE)="Percentage",AV$70,IF(VLOOKUP($A82,Input!$A$62:$B$74,2,FALSE)="Fixed","Fixed",(AU$70)))</f>
        <v>11</v>
      </c>
      <c r="AV82" s="25">
        <f t="shared" si="60"/>
        <v>0</v>
      </c>
    </row>
    <row r="83" spans="1:48" x14ac:dyDescent="0.55000000000000004">
      <c r="A83">
        <f t="shared" si="61"/>
        <v>0</v>
      </c>
      <c r="B83" s="173">
        <f>INDEX(Input!$C$62:$AM$74,MATCH($A83,Input!$A$62:$A$74,0),MATCH(B$61,Input!$C$61:$AM$61,0))</f>
        <v>0</v>
      </c>
      <c r="C83" s="31">
        <f>IF(VLOOKUP($A83,Input!$A$62:$B$74,2,FALSE)="Percentage",D$70,IF(VLOOKUP($A83,Input!$A$62:$B$74,2,FALSE)="Fixed","Fixed",(C$70)))</f>
        <v>11</v>
      </c>
      <c r="D83" s="25">
        <f t="shared" si="49"/>
        <v>0</v>
      </c>
      <c r="F83" s="173">
        <f>INDEX(Input!$C$62:$AM$74,MATCH($A83,Input!$A$62:$A$74,0),MATCH(F$61,Input!$C$61:$AM$61,0))</f>
        <v>0</v>
      </c>
      <c r="G83" s="31">
        <f>IF(VLOOKUP($A83,Input!$A$62:$B$74,2,FALSE)="Percentage",H$70,IF(VLOOKUP($A83,Input!$A$62:$B$74,2,FALSE)="Fixed","Fixed",(G$70)))</f>
        <v>11</v>
      </c>
      <c r="H83" s="25">
        <f t="shared" si="50"/>
        <v>0</v>
      </c>
      <c r="J83" s="173">
        <f>INDEX(Input!$C$62:$AM$74,MATCH($A83,Input!$A$62:$A$74,0),MATCH(J$61,Input!$C$61:$AM$61,0))</f>
        <v>0</v>
      </c>
      <c r="K83" s="31">
        <f>IF(VLOOKUP($A83,Input!$A$62:$B$74,2,FALSE)="Percentage",L$70,IF(VLOOKUP($A83,Input!$A$62:$B$74,2,FALSE)="Fixed","Fixed",(K$70)))</f>
        <v>11</v>
      </c>
      <c r="L83" s="25">
        <f t="shared" si="51"/>
        <v>0</v>
      </c>
      <c r="N83" s="173">
        <f>INDEX(Input!$C$62:$AM$74,MATCH($A83,Input!$A$62:$A$74,0),MATCH(N$61,Input!$C$61:$AM$61,0))</f>
        <v>0</v>
      </c>
      <c r="O83" s="31">
        <f>IF(VLOOKUP($A83,Input!$A$62:$B$74,2,FALSE)="Percentage",P$70,IF(VLOOKUP($A83,Input!$A$62:$B$74,2,FALSE)="Fixed","Fixed",(O$70)))</f>
        <v>11</v>
      </c>
      <c r="P83" s="25">
        <f t="shared" si="52"/>
        <v>0</v>
      </c>
      <c r="R83" s="173">
        <f>INDEX(Input!$C$62:$AM$74,MATCH($A83,Input!$A$62:$A$74,0),MATCH(R$61,Input!$C$61:$AM$61,0))</f>
        <v>0</v>
      </c>
      <c r="S83" s="31">
        <f>IF(VLOOKUP($A83,Input!$A$62:$B$74,2,FALSE)="Percentage",T$70,IF(VLOOKUP($A83,Input!$A$62:$B$74,2,FALSE)="Fixed","Fixed",(S$70)))</f>
        <v>11</v>
      </c>
      <c r="T83" s="25">
        <f t="shared" si="53"/>
        <v>0</v>
      </c>
      <c r="V83" s="173">
        <f>INDEX(Input!$C$62:$AM$74,MATCH($A83,Input!$A$62:$A$74,0),MATCH(V$61,Input!$C$61:$AM$61,0))</f>
        <v>0</v>
      </c>
      <c r="W83" s="31">
        <f>IF(VLOOKUP($A83,Input!$A$62:$B$74,2,FALSE)="Percentage",X$70,IF(VLOOKUP($A83,Input!$A$62:$B$74,2,FALSE)="Fixed","Fixed",(W$70)))</f>
        <v>11</v>
      </c>
      <c r="X83" s="25">
        <f t="shared" si="54"/>
        <v>0</v>
      </c>
      <c r="Z83" s="173">
        <f>INDEX(Input!$C$62:$AM$74,MATCH($A83,Input!$A$62:$A$74,0),MATCH(Z$61,Input!$C$61:$AM$61,0))</f>
        <v>0</v>
      </c>
      <c r="AA83" s="31">
        <f>IF(VLOOKUP($A83,Input!$A$62:$B$74,2,FALSE)="Percentage",AB$70,IF(VLOOKUP($A83,Input!$A$62:$B$74,2,FALSE)="Fixed","Fixed",(AA$70)))</f>
        <v>11</v>
      </c>
      <c r="AB83" s="25">
        <f t="shared" si="55"/>
        <v>0</v>
      </c>
      <c r="AD83" s="173">
        <f>INDEX(Input!$C$62:$AM$74,MATCH($A83,Input!$A$62:$A$74,0),MATCH(AD$61,Input!$C$61:$AM$61,0))</f>
        <v>0</v>
      </c>
      <c r="AE83" s="31">
        <f>IF(VLOOKUP($A83,Input!$A$62:$B$74,2,FALSE)="Percentage",AF$70,IF(VLOOKUP($A83,Input!$A$62:$B$74,2,FALSE)="Fixed","Fixed",(AE$70)))</f>
        <v>11</v>
      </c>
      <c r="AF83" s="25">
        <f t="shared" si="56"/>
        <v>0</v>
      </c>
      <c r="AH83" s="173">
        <f>INDEX(Input!$C$62:$AM$74,MATCH($A83,Input!$A$62:$A$74,0),MATCH(AH$61,Input!$C$61:$AM$61,0))</f>
        <v>0</v>
      </c>
      <c r="AI83" s="31">
        <f>IF(VLOOKUP($A83,Input!$A$62:$B$74,2,FALSE)="Percentage",AJ$70,IF(VLOOKUP($A83,Input!$A$62:$B$74,2,FALSE)="Fixed","Fixed",(AI$70)))</f>
        <v>11</v>
      </c>
      <c r="AJ83" s="25">
        <f t="shared" si="57"/>
        <v>0</v>
      </c>
      <c r="AL83" s="173">
        <f>INDEX(Input!$C$62:$AM$74,MATCH($A83,Input!$A$62:$A$74,0),MATCH(AL$61,Input!$C$61:$AM$61,0))</f>
        <v>0</v>
      </c>
      <c r="AM83" s="31">
        <f>IF(VLOOKUP($A83,Input!$A$62:$B$74,2,FALSE)="Percentage",AN$70,IF(VLOOKUP($A83,Input!$A$62:$B$74,2,FALSE)="Fixed","Fixed",(AM$70)))</f>
        <v>11</v>
      </c>
      <c r="AN83" s="25">
        <f t="shared" si="58"/>
        <v>0</v>
      </c>
      <c r="AP83" s="173">
        <f>INDEX(Input!$C$62:$AM$74,MATCH($A83,Input!$A$62:$A$74,0),MATCH(AP$61,Input!$C$61:$AM$61,0))</f>
        <v>0</v>
      </c>
      <c r="AQ83" s="31">
        <f>IF(VLOOKUP($A83,Input!$A$62:$B$74,2,FALSE)="Percentage",AR$70,IF(VLOOKUP($A83,Input!$A$62:$B$74,2,FALSE)="Fixed","Fixed",(AQ$70)))</f>
        <v>11</v>
      </c>
      <c r="AR83" s="25">
        <f t="shared" si="59"/>
        <v>0</v>
      </c>
      <c r="AS83" s="30"/>
      <c r="AT83" s="173">
        <f>INDEX(Input!$C$62:$AM$74,MATCH($A83,Input!$A$62:$A$74,0),MATCH(AT$61,Input!$C$61:$AM$61,0))</f>
        <v>0</v>
      </c>
      <c r="AU83" s="31">
        <f>IF(VLOOKUP($A83,Input!$A$62:$B$74,2,FALSE)="Percentage",AV$70,IF(VLOOKUP($A83,Input!$A$62:$B$74,2,FALSE)="Fixed","Fixed",(AU$70)))</f>
        <v>11</v>
      </c>
      <c r="AV83" s="25">
        <f t="shared" si="60"/>
        <v>0</v>
      </c>
    </row>
    <row r="84" spans="1:48" x14ac:dyDescent="0.55000000000000004">
      <c r="A84">
        <f t="shared" si="61"/>
        <v>0</v>
      </c>
      <c r="B84" s="173">
        <f>INDEX(Input!$C$62:$AM$74,MATCH($A84,Input!$A$62:$A$74,0),MATCH(B$61,Input!$C$61:$AM$61,0))</f>
        <v>0</v>
      </c>
      <c r="C84" s="31">
        <f>IF(VLOOKUP($A84,Input!$A$62:$B$74,2,FALSE)="Percentage",D$70,IF(VLOOKUP($A84,Input!$A$62:$B$74,2,FALSE)="Fixed","Fixed",(C$70)))</f>
        <v>11</v>
      </c>
      <c r="D84" s="25">
        <f t="shared" si="49"/>
        <v>0</v>
      </c>
      <c r="F84" s="173">
        <f>INDEX(Input!$C$62:$AM$74,MATCH($A84,Input!$A$62:$A$74,0),MATCH(F$61,Input!$C$61:$AM$61,0))</f>
        <v>0</v>
      </c>
      <c r="G84" s="31">
        <f>IF(VLOOKUP($A84,Input!$A$62:$B$74,2,FALSE)="Percentage",H$70,IF(VLOOKUP($A84,Input!$A$62:$B$74,2,FALSE)="Fixed","Fixed",(G$70)))</f>
        <v>11</v>
      </c>
      <c r="H84" s="25">
        <f t="shared" si="50"/>
        <v>0</v>
      </c>
      <c r="J84" s="173">
        <f>INDEX(Input!$C$62:$AM$74,MATCH($A84,Input!$A$62:$A$74,0),MATCH(J$61,Input!$C$61:$AM$61,0))</f>
        <v>0</v>
      </c>
      <c r="K84" s="31">
        <f>IF(VLOOKUP($A84,Input!$A$62:$B$74,2,FALSE)="Percentage",L$70,IF(VLOOKUP($A84,Input!$A$62:$B$74,2,FALSE)="Fixed","Fixed",(K$70)))</f>
        <v>11</v>
      </c>
      <c r="L84" s="25">
        <f t="shared" si="51"/>
        <v>0</v>
      </c>
      <c r="N84" s="173">
        <f>INDEX(Input!$C$62:$AM$74,MATCH($A84,Input!$A$62:$A$74,0),MATCH(N$61,Input!$C$61:$AM$61,0))</f>
        <v>0</v>
      </c>
      <c r="O84" s="31">
        <f>IF(VLOOKUP($A84,Input!$A$62:$B$74,2,FALSE)="Percentage",P$70,IF(VLOOKUP($A84,Input!$A$62:$B$74,2,FALSE)="Fixed","Fixed",(O$70)))</f>
        <v>11</v>
      </c>
      <c r="P84" s="25">
        <f t="shared" si="52"/>
        <v>0</v>
      </c>
      <c r="R84" s="173">
        <f>INDEX(Input!$C$62:$AM$74,MATCH($A84,Input!$A$62:$A$74,0),MATCH(R$61,Input!$C$61:$AM$61,0))</f>
        <v>0</v>
      </c>
      <c r="S84" s="31">
        <f>IF(VLOOKUP($A84,Input!$A$62:$B$74,2,FALSE)="Percentage",T$70,IF(VLOOKUP($A84,Input!$A$62:$B$74,2,FALSE)="Fixed","Fixed",(S$70)))</f>
        <v>11</v>
      </c>
      <c r="T84" s="25">
        <f t="shared" si="53"/>
        <v>0</v>
      </c>
      <c r="V84" s="173">
        <f>INDEX(Input!$C$62:$AM$74,MATCH($A84,Input!$A$62:$A$74,0),MATCH(V$61,Input!$C$61:$AM$61,0))</f>
        <v>0</v>
      </c>
      <c r="W84" s="31">
        <f>IF(VLOOKUP($A84,Input!$A$62:$B$74,2,FALSE)="Percentage",X$70,IF(VLOOKUP($A84,Input!$A$62:$B$74,2,FALSE)="Fixed","Fixed",(W$70)))</f>
        <v>11</v>
      </c>
      <c r="X84" s="25">
        <f t="shared" si="54"/>
        <v>0</v>
      </c>
      <c r="Z84" s="173">
        <f>INDEX(Input!$C$62:$AM$74,MATCH($A84,Input!$A$62:$A$74,0),MATCH(Z$61,Input!$C$61:$AM$61,0))</f>
        <v>0</v>
      </c>
      <c r="AA84" s="31">
        <f>IF(VLOOKUP($A84,Input!$A$62:$B$74,2,FALSE)="Percentage",AB$70,IF(VLOOKUP($A84,Input!$A$62:$B$74,2,FALSE)="Fixed","Fixed",(AA$70)))</f>
        <v>11</v>
      </c>
      <c r="AB84" s="25">
        <f t="shared" si="55"/>
        <v>0</v>
      </c>
      <c r="AD84" s="173">
        <f>INDEX(Input!$C$62:$AM$74,MATCH($A84,Input!$A$62:$A$74,0),MATCH(AD$61,Input!$C$61:$AM$61,0))</f>
        <v>0</v>
      </c>
      <c r="AE84" s="31">
        <f>IF(VLOOKUP($A84,Input!$A$62:$B$74,2,FALSE)="Percentage",AF$70,IF(VLOOKUP($A84,Input!$A$62:$B$74,2,FALSE)="Fixed","Fixed",(AE$70)))</f>
        <v>11</v>
      </c>
      <c r="AF84" s="25">
        <f t="shared" si="56"/>
        <v>0</v>
      </c>
      <c r="AH84" s="173">
        <f>INDEX(Input!$C$62:$AM$74,MATCH($A84,Input!$A$62:$A$74,0),MATCH(AH$61,Input!$C$61:$AM$61,0))</f>
        <v>0</v>
      </c>
      <c r="AI84" s="31">
        <f>IF(VLOOKUP($A84,Input!$A$62:$B$74,2,FALSE)="Percentage",AJ$70,IF(VLOOKUP($A84,Input!$A$62:$B$74,2,FALSE)="Fixed","Fixed",(AI$70)))</f>
        <v>11</v>
      </c>
      <c r="AJ84" s="25">
        <f t="shared" si="57"/>
        <v>0</v>
      </c>
      <c r="AL84" s="173">
        <f>INDEX(Input!$C$62:$AM$74,MATCH($A84,Input!$A$62:$A$74,0),MATCH(AL$61,Input!$C$61:$AM$61,0))</f>
        <v>0</v>
      </c>
      <c r="AM84" s="31">
        <f>IF(VLOOKUP($A84,Input!$A$62:$B$74,2,FALSE)="Percentage",AN$70,IF(VLOOKUP($A84,Input!$A$62:$B$74,2,FALSE)="Fixed","Fixed",(AM$70)))</f>
        <v>11</v>
      </c>
      <c r="AN84" s="25">
        <f t="shared" si="58"/>
        <v>0</v>
      </c>
      <c r="AP84" s="173">
        <f>INDEX(Input!$C$62:$AM$74,MATCH($A84,Input!$A$62:$A$74,0),MATCH(AP$61,Input!$C$61:$AM$61,0))</f>
        <v>0</v>
      </c>
      <c r="AQ84" s="31">
        <f>IF(VLOOKUP($A84,Input!$A$62:$B$74,2,FALSE)="Percentage",AR$70,IF(VLOOKUP($A84,Input!$A$62:$B$74,2,FALSE)="Fixed","Fixed",(AQ$70)))</f>
        <v>11</v>
      </c>
      <c r="AR84" s="25">
        <f t="shared" si="59"/>
        <v>0</v>
      </c>
      <c r="AS84" s="30"/>
      <c r="AT84" s="173">
        <f>INDEX(Input!$C$62:$AM$74,MATCH($A84,Input!$A$62:$A$74,0),MATCH(AT$61,Input!$C$61:$AM$61,0))</f>
        <v>0</v>
      </c>
      <c r="AU84" s="31">
        <f>IF(VLOOKUP($A84,Input!$A$62:$B$74,2,FALSE)="Percentage",AV$70,IF(VLOOKUP($A84,Input!$A$62:$B$74,2,FALSE)="Fixed","Fixed",(AU$70)))</f>
        <v>11</v>
      </c>
      <c r="AV84" s="25">
        <f t="shared" si="60"/>
        <v>0</v>
      </c>
    </row>
    <row r="85" spans="1:48" x14ac:dyDescent="0.55000000000000004">
      <c r="A85">
        <f t="shared" si="61"/>
        <v>0</v>
      </c>
      <c r="B85" s="173">
        <f>INDEX(Input!$C$62:$AM$74,MATCH($A85,Input!$A$62:$A$74,0),MATCH(B$61,Input!$C$61:$AM$61,0))</f>
        <v>0</v>
      </c>
      <c r="C85" s="31">
        <f>IF(VLOOKUP($A85,Input!$A$62:$B$74,2,FALSE)="Percentage",D$70,IF(VLOOKUP($A85,Input!$A$62:$B$74,2,FALSE)="Fixed","Fixed",(C$70)))</f>
        <v>11</v>
      </c>
      <c r="D85" s="25">
        <f t="shared" si="49"/>
        <v>0</v>
      </c>
      <c r="F85" s="173">
        <f>INDEX(Input!$C$62:$AM$74,MATCH($A85,Input!$A$62:$A$74,0),MATCH(F$61,Input!$C$61:$AM$61,0))</f>
        <v>0</v>
      </c>
      <c r="G85" s="31">
        <f>IF(VLOOKUP($A85,Input!$A$62:$B$74,2,FALSE)="Percentage",H$70,IF(VLOOKUP($A85,Input!$A$62:$B$74,2,FALSE)="Fixed","Fixed",(G$70)))</f>
        <v>11</v>
      </c>
      <c r="H85" s="25">
        <f t="shared" si="50"/>
        <v>0</v>
      </c>
      <c r="J85" s="173">
        <f>INDEX(Input!$C$62:$AM$74,MATCH($A85,Input!$A$62:$A$74,0),MATCH(J$61,Input!$C$61:$AM$61,0))</f>
        <v>0</v>
      </c>
      <c r="K85" s="31">
        <f>IF(VLOOKUP($A85,Input!$A$62:$B$74,2,FALSE)="Percentage",L$70,IF(VLOOKUP($A85,Input!$A$62:$B$74,2,FALSE)="Fixed","Fixed",(K$70)))</f>
        <v>11</v>
      </c>
      <c r="L85" s="25">
        <f t="shared" si="51"/>
        <v>0</v>
      </c>
      <c r="N85" s="173">
        <f>INDEX(Input!$C$62:$AM$74,MATCH($A85,Input!$A$62:$A$74,0),MATCH(N$61,Input!$C$61:$AM$61,0))</f>
        <v>0</v>
      </c>
      <c r="O85" s="31">
        <f>IF(VLOOKUP($A85,Input!$A$62:$B$74,2,FALSE)="Percentage",P$70,IF(VLOOKUP($A85,Input!$A$62:$B$74,2,FALSE)="Fixed","Fixed",(O$70)))</f>
        <v>11</v>
      </c>
      <c r="P85" s="25">
        <f t="shared" si="52"/>
        <v>0</v>
      </c>
      <c r="R85" s="173">
        <f>INDEX(Input!$C$62:$AM$74,MATCH($A85,Input!$A$62:$A$74,0),MATCH(R$61,Input!$C$61:$AM$61,0))</f>
        <v>0</v>
      </c>
      <c r="S85" s="31">
        <f>IF(VLOOKUP($A85,Input!$A$62:$B$74,2,FALSE)="Percentage",T$70,IF(VLOOKUP($A85,Input!$A$62:$B$74,2,FALSE)="Fixed","Fixed",(S$70)))</f>
        <v>11</v>
      </c>
      <c r="T85" s="25">
        <f t="shared" si="53"/>
        <v>0</v>
      </c>
      <c r="V85" s="173">
        <f>INDEX(Input!$C$62:$AM$74,MATCH($A85,Input!$A$62:$A$74,0),MATCH(V$61,Input!$C$61:$AM$61,0))</f>
        <v>0</v>
      </c>
      <c r="W85" s="31">
        <f>IF(VLOOKUP($A85,Input!$A$62:$B$74,2,FALSE)="Percentage",X$70,IF(VLOOKUP($A85,Input!$A$62:$B$74,2,FALSE)="Fixed","Fixed",(W$70)))</f>
        <v>11</v>
      </c>
      <c r="X85" s="25">
        <f t="shared" si="54"/>
        <v>0</v>
      </c>
      <c r="Z85" s="173">
        <f>INDEX(Input!$C$62:$AM$74,MATCH($A85,Input!$A$62:$A$74,0),MATCH(Z$61,Input!$C$61:$AM$61,0))</f>
        <v>0</v>
      </c>
      <c r="AA85" s="31">
        <f>IF(VLOOKUP($A85,Input!$A$62:$B$74,2,FALSE)="Percentage",AB$70,IF(VLOOKUP($A85,Input!$A$62:$B$74,2,FALSE)="Fixed","Fixed",(AA$70)))</f>
        <v>11</v>
      </c>
      <c r="AB85" s="25">
        <f t="shared" si="55"/>
        <v>0</v>
      </c>
      <c r="AD85" s="173">
        <f>INDEX(Input!$C$62:$AM$74,MATCH($A85,Input!$A$62:$A$74,0),MATCH(AD$61,Input!$C$61:$AM$61,0))</f>
        <v>0</v>
      </c>
      <c r="AE85" s="31">
        <f>IF(VLOOKUP($A85,Input!$A$62:$B$74,2,FALSE)="Percentage",AF$70,IF(VLOOKUP($A85,Input!$A$62:$B$74,2,FALSE)="Fixed","Fixed",(AE$70)))</f>
        <v>11</v>
      </c>
      <c r="AF85" s="25">
        <f t="shared" si="56"/>
        <v>0</v>
      </c>
      <c r="AH85" s="173">
        <f>INDEX(Input!$C$62:$AM$74,MATCH($A85,Input!$A$62:$A$74,0),MATCH(AH$61,Input!$C$61:$AM$61,0))</f>
        <v>0</v>
      </c>
      <c r="AI85" s="31">
        <f>IF(VLOOKUP($A85,Input!$A$62:$B$74,2,FALSE)="Percentage",AJ$70,IF(VLOOKUP($A85,Input!$A$62:$B$74,2,FALSE)="Fixed","Fixed",(AI$70)))</f>
        <v>11</v>
      </c>
      <c r="AJ85" s="25">
        <f t="shared" si="57"/>
        <v>0</v>
      </c>
      <c r="AL85" s="173">
        <f>INDEX(Input!$C$62:$AM$74,MATCH($A85,Input!$A$62:$A$74,0),MATCH(AL$61,Input!$C$61:$AM$61,0))</f>
        <v>0</v>
      </c>
      <c r="AM85" s="31">
        <f>IF(VLOOKUP($A85,Input!$A$62:$B$74,2,FALSE)="Percentage",AN$70,IF(VLOOKUP($A85,Input!$A$62:$B$74,2,FALSE)="Fixed","Fixed",(AM$70)))</f>
        <v>11</v>
      </c>
      <c r="AN85" s="25">
        <f t="shared" si="58"/>
        <v>0</v>
      </c>
      <c r="AP85" s="173">
        <f>INDEX(Input!$C$62:$AM$74,MATCH($A85,Input!$A$62:$A$74,0),MATCH(AP$61,Input!$C$61:$AM$61,0))</f>
        <v>0</v>
      </c>
      <c r="AQ85" s="31">
        <f>IF(VLOOKUP($A85,Input!$A$62:$B$74,2,FALSE)="Percentage",AR$70,IF(VLOOKUP($A85,Input!$A$62:$B$74,2,FALSE)="Fixed","Fixed",(AQ$70)))</f>
        <v>11</v>
      </c>
      <c r="AR85" s="25">
        <f t="shared" si="59"/>
        <v>0</v>
      </c>
      <c r="AS85" s="30"/>
      <c r="AT85" s="173">
        <f>INDEX(Input!$C$62:$AM$74,MATCH($A85,Input!$A$62:$A$74,0),MATCH(AT$61,Input!$C$61:$AM$61,0))</f>
        <v>0</v>
      </c>
      <c r="AU85" s="31">
        <f>IF(VLOOKUP($A85,Input!$A$62:$B$74,2,FALSE)="Percentage",AV$70,IF(VLOOKUP($A85,Input!$A$62:$B$74,2,FALSE)="Fixed","Fixed",(AU$70)))</f>
        <v>11</v>
      </c>
      <c r="AV85" s="25">
        <f t="shared" si="60"/>
        <v>0</v>
      </c>
    </row>
    <row r="86" spans="1:48" x14ac:dyDescent="0.55000000000000004">
      <c r="A86" t="s">
        <v>39</v>
      </c>
      <c r="B86" s="16"/>
      <c r="C86" s="17"/>
      <c r="D86" s="26">
        <f>SUM(D73:D85)</f>
        <v>-11.88</v>
      </c>
      <c r="F86" s="16"/>
      <c r="G86" s="17"/>
      <c r="H86" s="26">
        <f>SUM(H73:H85)</f>
        <v>-11.88</v>
      </c>
      <c r="J86" s="16"/>
      <c r="K86" s="17"/>
      <c r="L86" s="26">
        <f>SUM(L73:L85)</f>
        <v>-11.88</v>
      </c>
      <c r="N86" s="16"/>
      <c r="O86" s="17"/>
      <c r="P86" s="26">
        <f>SUM(P73:P85)</f>
        <v>-11.88</v>
      </c>
      <c r="R86" s="16"/>
      <c r="S86" s="17"/>
      <c r="T86" s="26">
        <f>SUM(T73:T85)</f>
        <v>-11.88</v>
      </c>
      <c r="V86" s="16"/>
      <c r="W86" s="17"/>
      <c r="X86" s="26">
        <f>SUM(X73:X85)</f>
        <v>-11.88</v>
      </c>
      <c r="Z86" s="16"/>
      <c r="AA86" s="17"/>
      <c r="AB86" s="26">
        <f>SUM(AB73:AB85)</f>
        <v>-11.88</v>
      </c>
      <c r="AD86" s="16"/>
      <c r="AE86" s="17"/>
      <c r="AF86" s="26">
        <f>SUM(AF73:AF85)</f>
        <v>-11.88</v>
      </c>
      <c r="AH86" s="16"/>
      <c r="AI86" s="17"/>
      <c r="AJ86" s="26">
        <f>SUM(AJ73:AJ85)</f>
        <v>-11.88</v>
      </c>
      <c r="AL86" s="16"/>
      <c r="AM86" s="17"/>
      <c r="AN86" s="26">
        <f>SUM(AN73:AN85)</f>
        <v>-11.88</v>
      </c>
      <c r="AP86" s="16"/>
      <c r="AQ86" s="17"/>
      <c r="AR86" s="26">
        <f>SUM(AR73:AR85)</f>
        <v>-11.88</v>
      </c>
      <c r="AS86" s="64"/>
      <c r="AT86" s="16"/>
      <c r="AU86" s="17"/>
      <c r="AV86" s="26">
        <f>SUM(AV73:AV85)</f>
        <v>-11.88</v>
      </c>
    </row>
    <row r="87" spans="1:48" x14ac:dyDescent="0.55000000000000004">
      <c r="B87" s="16"/>
      <c r="C87" s="17"/>
      <c r="D87" s="19"/>
      <c r="F87" s="16"/>
      <c r="G87" s="17"/>
      <c r="H87" s="19"/>
      <c r="J87" s="16"/>
      <c r="K87" s="17"/>
      <c r="L87" s="19"/>
      <c r="N87" s="16"/>
      <c r="O87" s="17"/>
      <c r="P87" s="19"/>
      <c r="R87" s="16"/>
      <c r="S87" s="17"/>
      <c r="T87" s="19"/>
      <c r="V87" s="16"/>
      <c r="W87" s="17"/>
      <c r="X87" s="19"/>
      <c r="Z87" s="16"/>
      <c r="AA87" s="17"/>
      <c r="AB87" s="19"/>
      <c r="AD87" s="16"/>
      <c r="AE87" s="17"/>
      <c r="AF87" s="19"/>
      <c r="AH87" s="16"/>
      <c r="AI87" s="17"/>
      <c r="AJ87" s="19"/>
      <c r="AL87" s="16"/>
      <c r="AM87" s="17"/>
      <c r="AN87" s="19"/>
      <c r="AP87" s="16"/>
      <c r="AQ87" s="17"/>
      <c r="AR87" s="19"/>
      <c r="AS87" s="17"/>
      <c r="AT87" s="16"/>
      <c r="AU87" s="17"/>
      <c r="AV87" s="19"/>
    </row>
    <row r="88" spans="1:48" x14ac:dyDescent="0.55000000000000004">
      <c r="A88" s="1" t="s">
        <v>35</v>
      </c>
      <c r="B88" s="20" t="s">
        <v>29</v>
      </c>
      <c r="C88" s="21" t="s">
        <v>45</v>
      </c>
      <c r="D88" s="22" t="s">
        <v>30</v>
      </c>
      <c r="F88" s="20" t="s">
        <v>29</v>
      </c>
      <c r="G88" s="21" t="s">
        <v>45</v>
      </c>
      <c r="H88" s="22" t="s">
        <v>30</v>
      </c>
      <c r="J88" s="20" t="s">
        <v>29</v>
      </c>
      <c r="K88" s="21" t="s">
        <v>45</v>
      </c>
      <c r="L88" s="22" t="s">
        <v>30</v>
      </c>
      <c r="N88" s="20" t="s">
        <v>29</v>
      </c>
      <c r="O88" s="21" t="s">
        <v>45</v>
      </c>
      <c r="P88" s="22" t="s">
        <v>30</v>
      </c>
      <c r="R88" s="20" t="s">
        <v>29</v>
      </c>
      <c r="S88" s="21" t="s">
        <v>45</v>
      </c>
      <c r="T88" s="22" t="s">
        <v>30</v>
      </c>
      <c r="V88" s="20" t="s">
        <v>29</v>
      </c>
      <c r="W88" s="21" t="s">
        <v>45</v>
      </c>
      <c r="X88" s="22" t="s">
        <v>30</v>
      </c>
      <c r="Z88" s="20" t="s">
        <v>29</v>
      </c>
      <c r="AA88" s="21" t="s">
        <v>45</v>
      </c>
      <c r="AB88" s="22" t="s">
        <v>30</v>
      </c>
      <c r="AD88" s="20" t="s">
        <v>29</v>
      </c>
      <c r="AE88" s="21" t="s">
        <v>45</v>
      </c>
      <c r="AF88" s="22" t="s">
        <v>30</v>
      </c>
      <c r="AH88" s="20" t="s">
        <v>29</v>
      </c>
      <c r="AI88" s="21" t="s">
        <v>45</v>
      </c>
      <c r="AJ88" s="22" t="s">
        <v>30</v>
      </c>
      <c r="AL88" s="20" t="s">
        <v>29</v>
      </c>
      <c r="AM88" s="21" t="s">
        <v>45</v>
      </c>
      <c r="AN88" s="22" t="s">
        <v>30</v>
      </c>
      <c r="AP88" s="20" t="s">
        <v>29</v>
      </c>
      <c r="AQ88" s="21" t="s">
        <v>45</v>
      </c>
      <c r="AR88" s="22" t="s">
        <v>30</v>
      </c>
      <c r="AS88" s="170"/>
      <c r="AT88" s="20" t="s">
        <v>29</v>
      </c>
      <c r="AU88" s="21" t="s">
        <v>45</v>
      </c>
      <c r="AV88" s="22" t="s">
        <v>30</v>
      </c>
    </row>
    <row r="89" spans="1:48" x14ac:dyDescent="0.55000000000000004">
      <c r="A89" t="str">
        <f>A41</f>
        <v>CPUC Fee</v>
      </c>
      <c r="B89" s="29">
        <f>INDEX(Input!$C$77:$AL$82,MATCH('Residential Bills_Yr 2_avg'!$A$41,Input!$A$77:$A$82,0),MATCH('Residential Bills_Yr 2_avg'!B61:D61,Input!$C$76:$AL$76,0))</f>
        <v>8.0000000000000002E-3</v>
      </c>
      <c r="C89" s="30">
        <f>D70+D86</f>
        <v>95.700000000000017</v>
      </c>
      <c r="D89" s="25">
        <f>ROUND(B89*C89,2)</f>
        <v>0.77</v>
      </c>
      <c r="F89" s="29">
        <f>INDEX(Input!$C$77:$AL$82,MATCH('Residential Bills_Yr 2_avg'!$A$41,Input!$A$77:$A$82,0),MATCH('Residential Bills_Yr 2_avg'!F61:H61,Input!$C$76:$AL$76,0))</f>
        <v>8.0000000000000002E-3</v>
      </c>
      <c r="G89" s="30">
        <f>H70+H86</f>
        <v>95.700000000000017</v>
      </c>
      <c r="H89" s="25">
        <f>ROUND(F89*G89,2)</f>
        <v>0.77</v>
      </c>
      <c r="J89" s="29">
        <f>INDEX(Input!$C$77:$AL$82,MATCH('Residential Bills_Yr 2_avg'!$A$41,Input!$A$77:$A$82,0),MATCH('Residential Bills_Yr 2_avg'!J61:L61,Input!$C$76:$AL$76,0))</f>
        <v>8.0000000000000002E-3</v>
      </c>
      <c r="K89" s="30">
        <f>L70+L86</f>
        <v>95.700000000000017</v>
      </c>
      <c r="L89" s="25">
        <f>ROUND(J89*K89,2)</f>
        <v>0.77</v>
      </c>
      <c r="N89" s="29">
        <f>INDEX(Input!$C$77:$AL$82,MATCH('Residential Bills_Yr 2_avg'!$A$41,Input!$A$77:$A$82,0),MATCH('Residential Bills_Yr 2_avg'!N61:P61,Input!$C$76:$AL$76,0))</f>
        <v>8.0000000000000002E-3</v>
      </c>
      <c r="O89" s="30">
        <f>P70+P86</f>
        <v>95.700000000000017</v>
      </c>
      <c r="P89" s="25">
        <f>ROUND(N89*O89,2)</f>
        <v>0.77</v>
      </c>
      <c r="R89" s="29">
        <f>INDEX(Input!$C$77:$AL$82,MATCH('Residential Bills_Yr 2_avg'!$A$41,Input!$A$77:$A$82,0),MATCH('Residential Bills_Yr 2_avg'!R61:T61,Input!$C$76:$AL$76,0))</f>
        <v>8.0000000000000002E-3</v>
      </c>
      <c r="S89" s="30">
        <f>T70+T86</f>
        <v>95.700000000000017</v>
      </c>
      <c r="T89" s="25">
        <f>ROUND(R89*S89,2)</f>
        <v>0.77</v>
      </c>
      <c r="V89" s="29">
        <f>INDEX(Input!$C$77:$AL$82,MATCH('Residential Bills_Yr 2_avg'!$A$41,Input!$A$77:$A$82,0),MATCH('Residential Bills_Yr 2_avg'!V61:X61,Input!$C$76:$AL$76,0))</f>
        <v>8.0000000000000002E-3</v>
      </c>
      <c r="W89" s="30">
        <f>X70+X86</f>
        <v>95.700000000000017</v>
      </c>
      <c r="X89" s="25">
        <f>ROUND(V89*W89,2)</f>
        <v>0.77</v>
      </c>
      <c r="Z89" s="29">
        <f>INDEX(Input!$C$77:$AL$82,MATCH('Residential Bills_Yr 2_avg'!$A$41,Input!$A$77:$A$82,0),MATCH('Residential Bills_Yr 2_avg'!Z61:AB61,Input!$C$76:$AL$76,0))</f>
        <v>8.0000000000000002E-3</v>
      </c>
      <c r="AA89" s="30">
        <f>AB70+AB86</f>
        <v>95.700000000000017</v>
      </c>
      <c r="AB89" s="25">
        <f>ROUND(Z89*AA89,2)</f>
        <v>0.77</v>
      </c>
      <c r="AD89" s="29">
        <f>INDEX(Input!$C$77:$AL$82,MATCH('Residential Bills_Yr 2_avg'!$A$41,Input!$A$77:$A$82,0),MATCH('Residential Bills_Yr 2_avg'!AD61:AF61,Input!$C$76:$AL$76,0))</f>
        <v>8.0000000000000002E-3</v>
      </c>
      <c r="AE89" s="30">
        <f>AF70+AF86</f>
        <v>95.700000000000017</v>
      </c>
      <c r="AF89" s="25">
        <f>ROUND(AD89*AE89,2)</f>
        <v>0.77</v>
      </c>
      <c r="AH89" s="29">
        <f>INDEX(Input!$C$77:$AL$82,MATCH('Residential Bills_Yr 2_avg'!$A$41,Input!$A$77:$A$82,0),MATCH('Residential Bills_Yr 2_avg'!AH61:AJ61,Input!$C$76:$AL$76,0))</f>
        <v>8.0000000000000002E-3</v>
      </c>
      <c r="AI89" s="30">
        <f>AJ70+AJ86</f>
        <v>95.700000000000017</v>
      </c>
      <c r="AJ89" s="25">
        <f>ROUND(AH89*AI89,2)</f>
        <v>0.77</v>
      </c>
      <c r="AL89" s="29">
        <f>INDEX(Input!$C$77:$AL$82,MATCH('Residential Bills_Yr 2_avg'!$A$41,Input!$A$77:$A$82,0),MATCH('Residential Bills_Yr 2_avg'!AL61:AN61,Input!$C$76:$AL$76,0))</f>
        <v>8.0000000000000002E-3</v>
      </c>
      <c r="AM89" s="30">
        <f>AN70+AN86</f>
        <v>95.700000000000017</v>
      </c>
      <c r="AN89" s="25">
        <f>ROUND(AL89*AM89,2)</f>
        <v>0.77</v>
      </c>
      <c r="AP89" s="29">
        <f>INDEX(Input!$C$77:$AL$82,MATCH('Residential Bills_Yr 2_avg'!$A$41,Input!$A$77:$A$82,0),MATCH('Residential Bills_Yr 2_avg'!AP61:AR61,Input!$C$76:$AL$76,0))</f>
        <v>8.0000000000000002E-3</v>
      </c>
      <c r="AQ89" s="30">
        <f>AR70+AR86</f>
        <v>95.700000000000017</v>
      </c>
      <c r="AR89" s="25">
        <f>ROUND(AP89*AQ89,2)</f>
        <v>0.77</v>
      </c>
      <c r="AS89" s="30"/>
      <c r="AT89" s="29">
        <f>INDEX(Input!$C$77:$AL$82,MATCH('Residential Bills_Yr 2_avg'!$A$41,Input!$A$77:$A$82,0),MATCH('Residential Bills_Yr 2_avg'!AT61:AV61,Input!$C$76:$AL$76,0))</f>
        <v>8.0000000000000002E-3</v>
      </c>
      <c r="AU89" s="30">
        <f>AV70+AV86</f>
        <v>95.700000000000017</v>
      </c>
      <c r="AV89" s="25">
        <f>ROUND(AT89*AU89,2)</f>
        <v>0.77</v>
      </c>
    </row>
    <row r="90" spans="1:48" ht="14.5" customHeight="1" x14ac:dyDescent="0.55000000000000004">
      <c r="A90" t="str">
        <f>+A42</f>
        <v>CSJ UTT</v>
      </c>
      <c r="B90" s="29">
        <f>INDEX(Input!$C$77:$AL$82,MATCH('Residential Bills_Yr 1_avg'!$A$42,Input!$A$77:$A$82,0),MATCH('Residential Bills_Yr 1_avg'!B61,Input!$C$76:$AL$76,0))</f>
        <v>0.05</v>
      </c>
      <c r="C90" s="30">
        <f>D70+D86+D89</f>
        <v>96.470000000000013</v>
      </c>
      <c r="D90" s="25">
        <f>ROUND(B90*C90,2)</f>
        <v>4.82</v>
      </c>
      <c r="F90" s="29">
        <f>INDEX(Input!$C$77:$AL$82,MATCH('Residential Bills_Yr 1_avg'!$A$42,Input!$A$77:$A$82,0),MATCH('Residential Bills_Yr 1_avg'!F61,Input!$C$76:$AL$76,0))</f>
        <v>0.05</v>
      </c>
      <c r="G90" s="30">
        <f>H70+H86+H89</f>
        <v>96.470000000000013</v>
      </c>
      <c r="H90" s="25">
        <f>ROUND(F90*G90,2)</f>
        <v>4.82</v>
      </c>
      <c r="J90" s="29">
        <f>INDEX(Input!$C$77:$AL$82,MATCH('Residential Bills_Yr 1_avg'!$A$42,Input!$A$77:$A$82,0),MATCH('Residential Bills_Yr 1_avg'!J61,Input!$C$76:$AL$76,0))</f>
        <v>0.05</v>
      </c>
      <c r="K90" s="30">
        <f>L70+L86+L89</f>
        <v>96.470000000000013</v>
      </c>
      <c r="L90" s="25">
        <f>ROUND(J90*K90,2)</f>
        <v>4.82</v>
      </c>
      <c r="N90" s="29">
        <f>INDEX(Input!$C$77:$AL$82,MATCH('Residential Bills_Yr 1_avg'!$A$42,Input!$A$77:$A$82,0),MATCH('Residential Bills_Yr 1_avg'!N61,Input!$C$76:$AL$76,0))</f>
        <v>0.05</v>
      </c>
      <c r="O90" s="30">
        <f>P70+P86+P89</f>
        <v>96.470000000000013</v>
      </c>
      <c r="P90" s="25">
        <f>ROUND(N90*O90,2)</f>
        <v>4.82</v>
      </c>
      <c r="R90" s="29">
        <f>INDEX(Input!$C$77:$AL$82,MATCH('Residential Bills_Yr 1_avg'!$A$42,Input!$A$77:$A$82,0),MATCH('Residential Bills_Yr 1_avg'!R61,Input!$C$76:$AL$76,0))</f>
        <v>0.05</v>
      </c>
      <c r="S90" s="30">
        <f>T70+T86+T89</f>
        <v>96.470000000000013</v>
      </c>
      <c r="T90" s="25">
        <f>ROUND(R90*S90,2)</f>
        <v>4.82</v>
      </c>
      <c r="V90" s="29">
        <f>INDEX(Input!$C$77:$AL$82,MATCH('Residential Bills_Yr 1_avg'!$A$42,Input!$A$77:$A$82,0),MATCH('Residential Bills_Yr 1_avg'!V61,Input!$C$76:$AL$76,0))</f>
        <v>0.05</v>
      </c>
      <c r="W90" s="30">
        <f>X70+X86+X89</f>
        <v>96.470000000000013</v>
      </c>
      <c r="X90" s="25">
        <f>ROUND(V90*W90,2)</f>
        <v>4.82</v>
      </c>
      <c r="Z90" s="29">
        <f>INDEX(Input!$C$77:$AL$82,MATCH('Residential Bills_Yr 1_avg'!$A$42,Input!$A$77:$A$82,0),MATCH('Residential Bills_Yr 1_avg'!Z61,Input!$C$76:$AL$76,0))</f>
        <v>0.05</v>
      </c>
      <c r="AA90" s="30">
        <f>AB70+AB86+AB89</f>
        <v>96.470000000000013</v>
      </c>
      <c r="AB90" s="25">
        <f>ROUND(Z90*AA90,2)</f>
        <v>4.82</v>
      </c>
      <c r="AD90" s="29">
        <f>INDEX(Input!$C$77:$AL$82,MATCH('Residential Bills_Yr 1_avg'!$A$42,Input!$A$77:$A$82,0),MATCH('Residential Bills_Yr 1_avg'!AD61,Input!$C$76:$AL$76,0))</f>
        <v>0.05</v>
      </c>
      <c r="AE90" s="30">
        <f>AF70+AF86+AF89</f>
        <v>96.470000000000013</v>
      </c>
      <c r="AF90" s="25">
        <f>ROUND(AD90*AE90,2)</f>
        <v>4.82</v>
      </c>
      <c r="AH90" s="29">
        <f>INDEX(Input!$C$77:$AL$82,MATCH('Residential Bills_Yr 1_avg'!$A$42,Input!$A$77:$A$82,0),MATCH('Residential Bills_Yr 1_avg'!AH61,Input!$C$76:$AL$76,0))</f>
        <v>0.05</v>
      </c>
      <c r="AI90" s="30">
        <f>AJ70+AJ86+AJ89</f>
        <v>96.470000000000013</v>
      </c>
      <c r="AJ90" s="25">
        <f>ROUND(AH90*AI90,2)</f>
        <v>4.82</v>
      </c>
      <c r="AL90" s="29">
        <f>INDEX(Input!$C$77:$AL$82,MATCH('Residential Bills_Yr 1_avg'!$A$42,Input!$A$77:$A$82,0),MATCH('Residential Bills_Yr 1_avg'!AL61,Input!$C$76:$AL$76,0))</f>
        <v>0.05</v>
      </c>
      <c r="AM90" s="30">
        <f>AN70+AN86+AN89</f>
        <v>96.470000000000013</v>
      </c>
      <c r="AN90" s="25">
        <f>ROUND(AL90*AM90,2)</f>
        <v>4.82</v>
      </c>
      <c r="AP90" s="29">
        <f>INDEX(Input!$C$77:$AL$82,MATCH('Residential Bills_Yr 1_avg'!$A$42,Input!$A$77:$A$82,0),MATCH('Residential Bills_Yr 1_avg'!AP61,Input!$C$76:$AL$76,0))</f>
        <v>0.05</v>
      </c>
      <c r="AQ90" s="30">
        <f>AR70+AR86+AR89</f>
        <v>96.470000000000013</v>
      </c>
      <c r="AR90" s="25">
        <f>ROUND(AP90*AQ90,2)</f>
        <v>4.82</v>
      </c>
      <c r="AS90" s="17"/>
      <c r="AT90" s="29">
        <f>INDEX(Input!$C$77:$AL$82,MATCH('Residential Bills_Yr 1_avg'!$A$42,Input!$A$77:$A$82,0),MATCH('Residential Bills_Yr 1_avg'!AT61,Input!$C$76:$AL$76,0))</f>
        <v>0.05</v>
      </c>
      <c r="AU90" s="30">
        <f>AV70+AV86+AV89</f>
        <v>96.470000000000013</v>
      </c>
      <c r="AV90" s="25">
        <f>ROUND(AT90*AU90,2)</f>
        <v>4.82</v>
      </c>
    </row>
    <row r="91" spans="1:48" ht="14.5" customHeight="1" x14ac:dyDescent="0.55000000000000004">
      <c r="A91">
        <f>+Input!A123</f>
        <v>0</v>
      </c>
      <c r="B91" s="29"/>
      <c r="C91" s="17"/>
      <c r="D91" s="19"/>
      <c r="F91" s="29"/>
      <c r="G91" s="17"/>
      <c r="H91" s="19"/>
      <c r="J91" s="29"/>
      <c r="K91" s="17"/>
      <c r="L91" s="19"/>
      <c r="N91" s="29"/>
      <c r="O91" s="17"/>
      <c r="P91" s="19"/>
      <c r="R91" s="29"/>
      <c r="S91" s="17"/>
      <c r="T91" s="19"/>
      <c r="V91" s="29"/>
      <c r="W91" s="17"/>
      <c r="X91" s="19"/>
      <c r="Z91" s="29"/>
      <c r="AA91" s="17"/>
      <c r="AB91" s="19"/>
      <c r="AD91" s="29"/>
      <c r="AE91" s="17"/>
      <c r="AF91" s="19"/>
      <c r="AH91" s="29"/>
      <c r="AI91" s="17"/>
      <c r="AJ91" s="19"/>
      <c r="AL91" s="29"/>
      <c r="AM91" s="17"/>
      <c r="AN91" s="19"/>
      <c r="AP91" s="29"/>
      <c r="AQ91" s="17"/>
      <c r="AR91" s="19"/>
      <c r="AS91" s="17"/>
      <c r="AT91" s="29"/>
      <c r="AU91" s="17"/>
      <c r="AV91" s="19"/>
    </row>
    <row r="92" spans="1:48" ht="14.5" customHeight="1" x14ac:dyDescent="0.55000000000000004">
      <c r="A92">
        <f>+Input!A124</f>
        <v>0</v>
      </c>
      <c r="B92" s="29"/>
      <c r="C92" s="17"/>
      <c r="D92" s="19"/>
      <c r="F92" s="29"/>
      <c r="G92" s="17"/>
      <c r="H92" s="19"/>
      <c r="J92" s="29"/>
      <c r="K92" s="17"/>
      <c r="L92" s="19"/>
      <c r="N92" s="29"/>
      <c r="O92" s="17"/>
      <c r="P92" s="19"/>
      <c r="R92" s="29"/>
      <c r="S92" s="17"/>
      <c r="T92" s="19"/>
      <c r="V92" s="29"/>
      <c r="W92" s="17"/>
      <c r="X92" s="19"/>
      <c r="Z92" s="29"/>
      <c r="AA92" s="17"/>
      <c r="AB92" s="19"/>
      <c r="AD92" s="29"/>
      <c r="AE92" s="17"/>
      <c r="AF92" s="19"/>
      <c r="AH92" s="29"/>
      <c r="AI92" s="17"/>
      <c r="AJ92" s="19"/>
      <c r="AL92" s="29"/>
      <c r="AM92" s="17"/>
      <c r="AN92" s="19"/>
      <c r="AP92" s="29"/>
      <c r="AQ92" s="17"/>
      <c r="AR92" s="19"/>
      <c r="AS92" s="17"/>
      <c r="AT92" s="29"/>
      <c r="AU92" s="17"/>
      <c r="AV92" s="19"/>
    </row>
    <row r="93" spans="1:48" ht="14.5" customHeight="1" x14ac:dyDescent="0.55000000000000004">
      <c r="A93">
        <f>+Input!A125</f>
        <v>0</v>
      </c>
      <c r="B93" s="29"/>
      <c r="C93" s="17"/>
      <c r="D93" s="19"/>
      <c r="F93" s="29"/>
      <c r="G93" s="17"/>
      <c r="H93" s="19"/>
      <c r="J93" s="29"/>
      <c r="K93" s="17"/>
      <c r="L93" s="19"/>
      <c r="N93" s="29"/>
      <c r="O93" s="17"/>
      <c r="P93" s="19"/>
      <c r="R93" s="29"/>
      <c r="S93" s="17"/>
      <c r="T93" s="19"/>
      <c r="V93" s="29"/>
      <c r="W93" s="17"/>
      <c r="X93" s="19"/>
      <c r="Z93" s="29"/>
      <c r="AA93" s="17"/>
      <c r="AB93" s="19"/>
      <c r="AD93" s="29"/>
      <c r="AE93" s="17"/>
      <c r="AF93" s="19"/>
      <c r="AH93" s="29"/>
      <c r="AI93" s="17"/>
      <c r="AJ93" s="19"/>
      <c r="AL93" s="29"/>
      <c r="AM93" s="17"/>
      <c r="AN93" s="19"/>
      <c r="AP93" s="29"/>
      <c r="AQ93" s="17"/>
      <c r="AR93" s="19"/>
      <c r="AS93" s="17"/>
      <c r="AT93" s="29"/>
      <c r="AU93" s="17"/>
      <c r="AV93" s="19"/>
    </row>
    <row r="94" spans="1:48" ht="14.5" customHeight="1" x14ac:dyDescent="0.55000000000000004">
      <c r="A94">
        <f>+Input!A126</f>
        <v>0</v>
      </c>
      <c r="B94" s="29"/>
      <c r="C94" s="17"/>
      <c r="D94" s="19"/>
      <c r="F94" s="29"/>
      <c r="G94" s="17"/>
      <c r="H94" s="19"/>
      <c r="J94" s="29"/>
      <c r="K94" s="17"/>
      <c r="L94" s="19"/>
      <c r="N94" s="29"/>
      <c r="O94" s="17"/>
      <c r="P94" s="19"/>
      <c r="R94" s="29"/>
      <c r="S94" s="17"/>
      <c r="T94" s="19"/>
      <c r="V94" s="29"/>
      <c r="W94" s="17"/>
      <c r="X94" s="19"/>
      <c r="Z94" s="29"/>
      <c r="AA94" s="17"/>
      <c r="AB94" s="19"/>
      <c r="AD94" s="29"/>
      <c r="AE94" s="17"/>
      <c r="AF94" s="19"/>
      <c r="AH94" s="29"/>
      <c r="AI94" s="17"/>
      <c r="AJ94" s="19"/>
      <c r="AL94" s="29"/>
      <c r="AM94" s="17"/>
      <c r="AN94" s="19"/>
      <c r="AP94" s="29"/>
      <c r="AQ94" s="17"/>
      <c r="AR94" s="19"/>
      <c r="AS94" s="17"/>
      <c r="AT94" s="29"/>
      <c r="AU94" s="17"/>
      <c r="AV94" s="19"/>
    </row>
    <row r="95" spans="1:48" x14ac:dyDescent="0.55000000000000004">
      <c r="A95" t="s">
        <v>39</v>
      </c>
      <c r="B95" s="16"/>
      <c r="C95" s="17"/>
      <c r="D95" s="26">
        <f>SUM(D89:D94)</f>
        <v>5.59</v>
      </c>
      <c r="F95" s="16"/>
      <c r="G95" s="17"/>
      <c r="H95" s="26">
        <f>SUM(H89:H94)</f>
        <v>5.59</v>
      </c>
      <c r="J95" s="16"/>
      <c r="K95" s="17"/>
      <c r="L95" s="26">
        <f>SUM(L89:L94)</f>
        <v>5.59</v>
      </c>
      <c r="N95" s="16"/>
      <c r="O95" s="17"/>
      <c r="P95" s="26">
        <f>SUM(P89:P94)</f>
        <v>5.59</v>
      </c>
      <c r="R95" s="16"/>
      <c r="S95" s="17"/>
      <c r="T95" s="26">
        <f>SUM(T89:T94)</f>
        <v>5.59</v>
      </c>
      <c r="V95" s="16"/>
      <c r="W95" s="17"/>
      <c r="X95" s="26">
        <f>SUM(X89:X94)</f>
        <v>5.59</v>
      </c>
      <c r="Z95" s="16"/>
      <c r="AA95" s="17"/>
      <c r="AB95" s="26">
        <f>SUM(AB89:AB94)</f>
        <v>5.59</v>
      </c>
      <c r="AD95" s="16"/>
      <c r="AE95" s="17"/>
      <c r="AF95" s="26">
        <f>SUM(AF89:AF94)</f>
        <v>5.59</v>
      </c>
      <c r="AH95" s="16"/>
      <c r="AI95" s="17"/>
      <c r="AJ95" s="26">
        <f>SUM(AJ89:AJ94)</f>
        <v>5.59</v>
      </c>
      <c r="AL95" s="16"/>
      <c r="AM95" s="17"/>
      <c r="AN95" s="26">
        <f>SUM(AN89:AN94)</f>
        <v>5.59</v>
      </c>
      <c r="AP95" s="16"/>
      <c r="AQ95" s="17"/>
      <c r="AR95" s="26">
        <f>SUM(AR89:AR94)</f>
        <v>5.59</v>
      </c>
      <c r="AS95" s="17"/>
      <c r="AT95" s="16"/>
      <c r="AU95" s="17"/>
      <c r="AV95" s="26">
        <f>SUM(AV89:AV94)</f>
        <v>5.59</v>
      </c>
    </row>
    <row r="96" spans="1:48" x14ac:dyDescent="0.55000000000000004">
      <c r="B96" s="16"/>
      <c r="C96" s="17"/>
      <c r="D96" s="19"/>
      <c r="F96" s="16"/>
      <c r="G96" s="17"/>
      <c r="H96" s="19"/>
      <c r="J96" s="16"/>
      <c r="K96" s="17"/>
      <c r="L96" s="19"/>
      <c r="N96" s="16"/>
      <c r="O96" s="17"/>
      <c r="P96" s="19"/>
      <c r="R96" s="16"/>
      <c r="S96" s="17"/>
      <c r="T96" s="19"/>
      <c r="V96" s="16"/>
      <c r="W96" s="17"/>
      <c r="X96" s="19"/>
      <c r="Z96" s="16"/>
      <c r="AA96" s="17"/>
      <c r="AB96" s="19"/>
      <c r="AD96" s="16"/>
      <c r="AE96" s="17"/>
      <c r="AF96" s="19"/>
      <c r="AH96" s="16"/>
      <c r="AI96" s="17"/>
      <c r="AJ96" s="19"/>
      <c r="AL96" s="16"/>
      <c r="AM96" s="17"/>
      <c r="AN96" s="19"/>
      <c r="AP96" s="16"/>
      <c r="AQ96" s="17"/>
      <c r="AR96" s="19"/>
      <c r="AS96" s="17"/>
      <c r="AT96" s="16"/>
      <c r="AU96" s="17"/>
      <c r="AV96" s="19"/>
    </row>
    <row r="97" spans="1:48" ht="14.7" thickBot="1" x14ac:dyDescent="0.6">
      <c r="A97" t="s">
        <v>40</v>
      </c>
      <c r="B97" s="27"/>
      <c r="C97" s="28"/>
      <c r="D97" s="32">
        <f>D70+D86+D95</f>
        <v>101.29000000000002</v>
      </c>
      <c r="F97" s="27"/>
      <c r="G97" s="28"/>
      <c r="H97" s="32">
        <f>H70+H86+H95</f>
        <v>101.29000000000002</v>
      </c>
      <c r="J97" s="27"/>
      <c r="K97" s="28"/>
      <c r="L97" s="32">
        <f>L70+L86+L95</f>
        <v>101.29000000000002</v>
      </c>
      <c r="N97" s="27"/>
      <c r="O97" s="28"/>
      <c r="P97" s="32">
        <f>P70+P86+P95</f>
        <v>101.29000000000002</v>
      </c>
      <c r="R97" s="27"/>
      <c r="S97" s="28"/>
      <c r="T97" s="32">
        <f>T70+T86+T95</f>
        <v>101.29000000000002</v>
      </c>
      <c r="V97" s="27"/>
      <c r="W97" s="28"/>
      <c r="X97" s="32">
        <f>X70+X86+X95</f>
        <v>101.29000000000002</v>
      </c>
      <c r="Z97" s="27"/>
      <c r="AA97" s="28"/>
      <c r="AB97" s="32">
        <f>AB70+AB86+AB95</f>
        <v>101.29000000000002</v>
      </c>
      <c r="AD97" s="27"/>
      <c r="AE97" s="28"/>
      <c r="AF97" s="32">
        <f>AF70+AF86+AF95</f>
        <v>101.29000000000002</v>
      </c>
      <c r="AH97" s="27"/>
      <c r="AI97" s="28"/>
      <c r="AJ97" s="32">
        <f>AJ70+AJ86+AJ95</f>
        <v>101.29000000000002</v>
      </c>
      <c r="AL97" s="27"/>
      <c r="AM97" s="28"/>
      <c r="AN97" s="32">
        <f>AN70+AN86+AN95</f>
        <v>101.29000000000002</v>
      </c>
      <c r="AP97" s="27"/>
      <c r="AQ97" s="28"/>
      <c r="AR97" s="32">
        <f>AR70+AR86+AR95</f>
        <v>101.29000000000002</v>
      </c>
      <c r="AS97" s="176"/>
      <c r="AT97" s="27"/>
      <c r="AU97" s="28"/>
      <c r="AV97" s="32">
        <f>AV70+AV86+AV95</f>
        <v>101.29000000000002</v>
      </c>
    </row>
    <row r="99" spans="1:48" x14ac:dyDescent="0.55000000000000004">
      <c r="A99" t="s">
        <v>81</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9" id="{9338D908-8489-43C5-A71D-977E66377D4A}">
            <xm:f>OR(Input!$B62="Fixed",Input!$B62="Volumetric")</xm:f>
            <x14:dxf>
              <numFmt numFmtId="171" formatCode="&quot;$&quot;#,##0.000"/>
            </x14:dxf>
          </x14:cfRule>
          <x14:cfRule type="expression" priority="50" id="{F2ADEFE4-B99A-4DBA-8489-8C24288E8A00}">
            <xm:f>Input!$B62="Percentage"</xm:f>
            <x14:dxf>
              <numFmt numFmtId="166" formatCode="0.000%"/>
            </x14:dxf>
          </x14:cfRule>
          <xm:sqref>AT73:AT85 B73:B85 F73:F85 J73:J85 N73:N85 R73:R85 V73:V85 Z73:Z85 AD73:AD85 AH73:AH85 AL73:AL85 AP73:AP85</xm:sqref>
        </x14:conditionalFormatting>
        <x14:conditionalFormatting xmlns:xm="http://schemas.microsoft.com/office/excel/2006/main">
          <x14:cfRule type="expression" priority="25" id="{BCF448D5-799E-446D-A355-C7214AB169D7}">
            <xm:f>OR(Input!$B46="Fixed",Input!$B46="Volumetric")</xm:f>
            <x14:dxf>
              <numFmt numFmtId="171" formatCode="&quot;$&quot;#,##0.000"/>
            </x14:dxf>
          </x14:cfRule>
          <x14:cfRule type="expression" priority="26" id="{AE62C3A9-66E7-429A-A6AA-15C1EEF8AFB9}">
            <xm:f>Input!$B46="Percentage"</xm:f>
            <x14:dxf>
              <numFmt numFmtId="166" formatCode="0.000%"/>
            </x14:dxf>
          </x14:cfRule>
          <xm:sqref>B25:B37 F25:F37 J25:J37 N25:N37 R25:R37 V25:V37 Z25:Z37 AD25:AD37 AH25:AH37 AL25:AL37 AP25:AP37 AT25:AT37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Input!$A$86:$A$92</xm:f>
          </x14:formula1>
          <xm:sqref>B59:B60 B11:B12</xm:sqref>
        </x14:dataValidation>
        <x14:dataValidation type="list" allowBlank="1" showInputMessage="1" showErrorMessage="1">
          <x14:formula1>
            <xm:f>Input!$A$28:$A$42</xm:f>
          </x14:formula1>
          <xm:sqref>B6 B54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V99"/>
  <sheetViews>
    <sheetView topLeftCell="A7" zoomScale="115" zoomScaleNormal="115" workbookViewId="0">
      <pane xSplit="1" topLeftCell="Y1" activePane="topRight" state="frozen"/>
      <selection activeCell="B6" sqref="B6"/>
      <selection pane="topRight" activeCell="N19" sqref="N19"/>
    </sheetView>
  </sheetViews>
  <sheetFormatPr defaultRowHeight="14.4" x14ac:dyDescent="0.55000000000000004"/>
  <cols>
    <col min="1" max="1" width="30.41796875" customWidth="1"/>
    <col min="2" max="2" width="11.15625" customWidth="1"/>
    <col min="3" max="3" width="14.83984375" bestFit="1" customWidth="1"/>
    <col min="4" max="4" width="10.15625" bestFit="1" customWidth="1"/>
    <col min="5" max="5" width="0.83984375" customWidth="1"/>
    <col min="6" max="6" width="10" bestFit="1" customWidth="1"/>
    <col min="7" max="7" width="13.83984375" bestFit="1" customWidth="1"/>
    <col min="8" max="8" width="10.15625" bestFit="1" customWidth="1"/>
    <col min="9" max="9" width="0.83984375" customWidth="1"/>
    <col min="11" max="11" width="13.83984375" bestFit="1" customWidth="1"/>
    <col min="13" max="13" width="0.83984375" customWidth="1"/>
    <col min="14" max="14" width="9.41796875" customWidth="1"/>
    <col min="15" max="15" width="13.83984375" customWidth="1"/>
    <col min="16" max="16" width="9.15625" customWidth="1"/>
    <col min="17" max="17" width="0.83984375" customWidth="1"/>
    <col min="18" max="18" width="9.15625" customWidth="1"/>
    <col min="19" max="19" width="13.83984375" customWidth="1"/>
    <col min="20" max="20" width="9.15625" customWidth="1"/>
    <col min="21" max="21" width="0.83984375" customWidth="1"/>
    <col min="22" max="22" width="9.15625" customWidth="1"/>
    <col min="23" max="23" width="13.83984375" customWidth="1"/>
    <col min="24" max="24" width="9.15625" customWidth="1"/>
    <col min="25" max="25" width="0.83984375" customWidth="1"/>
    <col min="26" max="26" width="9.15625" customWidth="1"/>
    <col min="27" max="27" width="13.83984375" customWidth="1"/>
    <col min="28" max="28" width="9.15625" customWidth="1"/>
    <col min="29" max="29" width="0.83984375" customWidth="1"/>
    <col min="30" max="30" width="9.15625" customWidth="1"/>
    <col min="31" max="31" width="13.83984375" customWidth="1"/>
    <col min="32" max="32" width="9.15625" customWidth="1"/>
    <col min="33" max="33" width="0.83984375" customWidth="1"/>
    <col min="34" max="34" width="9.15625" customWidth="1"/>
    <col min="35" max="35" width="13.83984375" customWidth="1"/>
    <col min="36" max="36" width="9.15625" customWidth="1"/>
    <col min="37" max="37" width="0.83984375" customWidth="1"/>
    <col min="38" max="38" width="9.15625" customWidth="1"/>
    <col min="39" max="39" width="13.83984375" customWidth="1"/>
    <col min="40" max="40" width="9.15625" customWidth="1"/>
    <col min="41" max="41" width="0.83984375" customWidth="1"/>
    <col min="42" max="42" width="9.15625" customWidth="1"/>
    <col min="43" max="43" width="13.83984375" customWidth="1"/>
    <col min="44" max="44" width="9.15625" customWidth="1"/>
    <col min="45" max="45" width="2.68359375" customWidth="1"/>
    <col min="46" max="46" width="9.15625" customWidth="1"/>
    <col min="47" max="47" width="13.83984375" customWidth="1"/>
    <col min="48" max="48" width="9.15625" customWidth="1"/>
  </cols>
  <sheetData>
    <row r="1" spans="1:48" x14ac:dyDescent="0.55000000000000004">
      <c r="A1" s="1" t="s">
        <v>0</v>
      </c>
    </row>
    <row r="2" spans="1:48" x14ac:dyDescent="0.55000000000000004">
      <c r="A2" s="1" t="s">
        <v>1</v>
      </c>
    </row>
    <row r="3" spans="1:48" x14ac:dyDescent="0.55000000000000004">
      <c r="A3" s="1" t="str">
        <f>Input!A86</f>
        <v>San Jose Water Company</v>
      </c>
    </row>
    <row r="4" spans="1:48" ht="14.7" thickBot="1" x14ac:dyDescent="0.6">
      <c r="A4" s="1"/>
    </row>
    <row r="5" spans="1:48" x14ac:dyDescent="0.55000000000000004">
      <c r="A5" s="11" t="s">
        <v>83</v>
      </c>
      <c r="B5" s="12">
        <f>Input!$B$11</f>
        <v>2024</v>
      </c>
    </row>
    <row r="6" spans="1:48" x14ac:dyDescent="0.55000000000000004">
      <c r="A6" s="13" t="s">
        <v>6</v>
      </c>
      <c r="B6" s="57" t="s">
        <v>14</v>
      </c>
      <c r="C6" t="s">
        <v>37</v>
      </c>
    </row>
    <row r="7" spans="1:48" x14ac:dyDescent="0.55000000000000004">
      <c r="A7" s="13" t="s">
        <v>41</v>
      </c>
      <c r="B7" s="177">
        <f>Input!C11</f>
        <v>11</v>
      </c>
    </row>
    <row r="8" spans="1:48" x14ac:dyDescent="0.55000000000000004">
      <c r="A8" s="13" t="s">
        <v>8</v>
      </c>
      <c r="B8" s="14" t="s">
        <v>24</v>
      </c>
    </row>
    <row r="9" spans="1:48" x14ac:dyDescent="0.55000000000000004">
      <c r="A9" s="13" t="s">
        <v>89</v>
      </c>
      <c r="B9" s="14" t="s">
        <v>27</v>
      </c>
    </row>
    <row r="10" spans="1:48" x14ac:dyDescent="0.55000000000000004">
      <c r="A10" s="13" t="s">
        <v>51</v>
      </c>
      <c r="B10" s="14" t="str">
        <f>VLOOKUP(B11,Input!$A$86:$C$92,2,FALSE)</f>
        <v>San Jose Water Company</v>
      </c>
    </row>
    <row r="11" spans="1:48" ht="14.7" thickBot="1" x14ac:dyDescent="0.6">
      <c r="A11" s="15" t="s">
        <v>28</v>
      </c>
      <c r="B11" s="35" t="str">
        <f>'Residential Bill_Current_avg'!B11</f>
        <v>San Jose Water Company</v>
      </c>
    </row>
    <row r="12" spans="1:48" ht="14.7" thickBot="1" x14ac:dyDescent="0.6">
      <c r="A12" s="34"/>
      <c r="B12" s="24"/>
    </row>
    <row r="13" spans="1:48" ht="14.7" thickBot="1" x14ac:dyDescent="0.6">
      <c r="A13" s="1"/>
      <c r="B13" s="209" t="str">
        <f>CONCATENATE("January"," ",$B$5)</f>
        <v>January 2024</v>
      </c>
      <c r="C13" s="210"/>
      <c r="D13" s="211"/>
      <c r="F13" s="209" t="str">
        <f>CONCATENATE("February"," ",$B$5)</f>
        <v>February 2024</v>
      </c>
      <c r="G13" s="210"/>
      <c r="H13" s="211"/>
      <c r="J13" s="209" t="str">
        <f>CONCATENATE("March"," ",$B$5)</f>
        <v>March 2024</v>
      </c>
      <c r="K13" s="210"/>
      <c r="L13" s="211"/>
      <c r="N13" s="209" t="str">
        <f>CONCATENATE("April"," ",$B$5)</f>
        <v>April 2024</v>
      </c>
      <c r="O13" s="210"/>
      <c r="P13" s="211"/>
      <c r="R13" s="209" t="str">
        <f>CONCATENATE("May"," ",$B$5)</f>
        <v>May 2024</v>
      </c>
      <c r="S13" s="210"/>
      <c r="T13" s="211"/>
      <c r="V13" s="209" t="str">
        <f>CONCATENATE("June"," ",$B$5)</f>
        <v>June 2024</v>
      </c>
      <c r="W13" s="210"/>
      <c r="X13" s="211"/>
      <c r="Z13" s="209" t="str">
        <f>CONCATENATE("July"," ",$B$5)</f>
        <v>July 2024</v>
      </c>
      <c r="AA13" s="210"/>
      <c r="AB13" s="211"/>
      <c r="AD13" s="209" t="str">
        <f>CONCATENATE("August"," ",$B$5)</f>
        <v>August 2024</v>
      </c>
      <c r="AE13" s="210"/>
      <c r="AF13" s="211"/>
      <c r="AH13" s="209" t="str">
        <f>CONCATENATE("September"," ",$B$5)</f>
        <v>September 2024</v>
      </c>
      <c r="AI13" s="210"/>
      <c r="AJ13" s="211"/>
      <c r="AL13" s="209" t="str">
        <f>CONCATENATE("October"," ",$B$5)</f>
        <v>October 2024</v>
      </c>
      <c r="AM13" s="210"/>
      <c r="AN13" s="211"/>
      <c r="AP13" s="209" t="str">
        <f>CONCATENATE("November"," ",$B$5)</f>
        <v>November 2024</v>
      </c>
      <c r="AQ13" s="210"/>
      <c r="AR13" s="211"/>
      <c r="AS13" s="171"/>
      <c r="AT13" s="209" t="str">
        <f>CONCATENATE("December"," ",$B$5)</f>
        <v>December 2024</v>
      </c>
      <c r="AU13" s="210"/>
      <c r="AV13" s="211"/>
    </row>
    <row r="14" spans="1:48" x14ac:dyDescent="0.55000000000000004">
      <c r="A14" s="1" t="s">
        <v>5</v>
      </c>
      <c r="B14" s="16"/>
      <c r="C14" s="17"/>
      <c r="D14" s="18">
        <f>INDEX(Input!$C$28:$AL$42,MATCH('Residential Bills_Yr 3_avg'!$B$6,Input!$A$28:$A$42,0),MATCH('Residential Bills_Yr 3_avg'!B$13,Input!$C$27:$AL$27,0))</f>
        <v>54.784772356597571</v>
      </c>
      <c r="F14" s="16"/>
      <c r="G14" s="17"/>
      <c r="H14" s="18">
        <f>INDEX(Input!$C$28:$AL$42,MATCH('Residential Bills_Yr 3_avg'!$B$6,Input!$A$28:$A$42,0),MATCH('Residential Bills_Yr 3_avg'!F$13,Input!$C$27:$AL$27,0))</f>
        <v>54.784772356597571</v>
      </c>
      <c r="J14" s="16"/>
      <c r="K14" s="17"/>
      <c r="L14" s="18">
        <f>INDEX(Input!$C$28:$AL$42,MATCH('Residential Bills_Yr 3_avg'!$B$6,Input!$A$28:$A$42,0),MATCH('Residential Bills_Yr 3_avg'!J$13,Input!$C$27:$AL$27,0))</f>
        <v>54.784772356597571</v>
      </c>
      <c r="N14" s="16"/>
      <c r="O14" s="17"/>
      <c r="P14" s="18">
        <f>INDEX(Input!$C$28:$AL$42,MATCH('Residential Bills_Yr 3_avg'!$B$6,Input!$A$28:$A$42,0),MATCH('Residential Bills_Yr 3_avg'!N$13,Input!$C$27:$AL$27,0))</f>
        <v>54.784772356597571</v>
      </c>
      <c r="R14" s="16"/>
      <c r="S14" s="17"/>
      <c r="T14" s="18">
        <f>INDEX(Input!$C$28:$AL$42,MATCH('Residential Bills_Yr 3_avg'!$B$6,Input!$A$28:$A$42,0),MATCH('Residential Bills_Yr 3_avg'!R$13,Input!$C$27:$AL$27,0))</f>
        <v>54.784772356597571</v>
      </c>
      <c r="V14" s="16"/>
      <c r="W14" s="17"/>
      <c r="X14" s="18">
        <f>INDEX(Input!$C$28:$AL$42,MATCH('Residential Bills_Yr 3_avg'!$B$6,Input!$A$28:$A$42,0),MATCH('Residential Bills_Yr 3_avg'!V$13,Input!$C$27:$AL$27,0))</f>
        <v>54.784772356597571</v>
      </c>
      <c r="Z14" s="16"/>
      <c r="AA14" s="17"/>
      <c r="AB14" s="18">
        <f>INDEX(Input!$C$28:$AL$42,MATCH('Residential Bills_Yr 3_avg'!$B$6,Input!$A$28:$A$42,0),MATCH('Residential Bills_Yr 3_avg'!Z$13,Input!$C$27:$AL$27,0))</f>
        <v>54.784772356597571</v>
      </c>
      <c r="AD14" s="16"/>
      <c r="AE14" s="17"/>
      <c r="AF14" s="18">
        <f>INDEX(Input!$C$28:$AL$42,MATCH('Residential Bills_Yr 3_avg'!$B$6,Input!$A$28:$A$42,0),MATCH('Residential Bills_Yr 3_avg'!AD$13,Input!$C$27:$AL$27,0))</f>
        <v>54.784772356597571</v>
      </c>
      <c r="AH14" s="16"/>
      <c r="AI14" s="17"/>
      <c r="AJ14" s="18">
        <f>INDEX(Input!$C$28:$AL$42,MATCH('Residential Bills_Yr 3_avg'!$B$6,Input!$A$28:$A$42,0),MATCH('Residential Bills_Yr 3_avg'!AH$13,Input!$C$27:$AL$27,0))</f>
        <v>54.784772356597571</v>
      </c>
      <c r="AL14" s="16"/>
      <c r="AM14" s="17"/>
      <c r="AN14" s="18">
        <f>INDEX(Input!$C$28:$AL$42,MATCH('Residential Bills_Yr 3_avg'!$B$6,Input!$A$28:$A$42,0),MATCH('Residential Bills_Yr 3_avg'!AL$13,Input!$C$27:$AL$27,0))</f>
        <v>54.784772356597571</v>
      </c>
      <c r="AP14" s="16"/>
      <c r="AQ14" s="17"/>
      <c r="AR14" s="18">
        <f>INDEX(Input!$C$28:$AL$42,MATCH('Residential Bills_Yr 3_avg'!$B$6,Input!$A$28:$A$42,0),MATCH('Residential Bills_Yr 3_avg'!AP$13,Input!$C$27:$AL$27,0))</f>
        <v>54.784772356597571</v>
      </c>
      <c r="AS14" s="175"/>
      <c r="AT14" s="16"/>
      <c r="AU14" s="17"/>
      <c r="AV14" s="18">
        <f>INDEX(Input!$C$28:$AL$42,MATCH('Residential Bills_Yr 3_avg'!$B$6,Input!$A$28:$A$42,0),MATCH('Residential Bills_Yr 3_avg'!AT$13,Input!$C$27:$AL$27,0))</f>
        <v>54.784772356597571</v>
      </c>
    </row>
    <row r="15" spans="1:48" x14ac:dyDescent="0.55000000000000004">
      <c r="B15" s="16"/>
      <c r="C15" s="17"/>
      <c r="D15" s="19"/>
      <c r="F15" s="16"/>
      <c r="G15" s="17"/>
      <c r="H15" s="19"/>
      <c r="J15" s="16"/>
      <c r="K15" s="17"/>
      <c r="L15" s="19"/>
      <c r="N15" s="16"/>
      <c r="O15" s="17"/>
      <c r="P15" s="19"/>
      <c r="R15" s="16"/>
      <c r="S15" s="17"/>
      <c r="T15" s="19"/>
      <c r="V15" s="16"/>
      <c r="W15" s="17"/>
      <c r="X15" s="19"/>
      <c r="Z15" s="16"/>
      <c r="AA15" s="17"/>
      <c r="AB15" s="19"/>
      <c r="AD15" s="16"/>
      <c r="AE15" s="17"/>
      <c r="AF15" s="19"/>
      <c r="AH15" s="16"/>
      <c r="AI15" s="17"/>
      <c r="AJ15" s="19"/>
      <c r="AL15" s="16"/>
      <c r="AM15" s="17"/>
      <c r="AN15" s="19"/>
      <c r="AP15" s="16"/>
      <c r="AQ15" s="17"/>
      <c r="AR15" s="19"/>
      <c r="AS15" s="17"/>
      <c r="AT15" s="16"/>
      <c r="AU15" s="17"/>
      <c r="AV15" s="19"/>
    </row>
    <row r="16" spans="1:48" x14ac:dyDescent="0.55000000000000004">
      <c r="A16" s="1" t="s">
        <v>33</v>
      </c>
      <c r="B16" s="20" t="s">
        <v>29</v>
      </c>
      <c r="C16" s="21" t="s">
        <v>7</v>
      </c>
      <c r="D16" s="22" t="s">
        <v>30</v>
      </c>
      <c r="F16" s="20" t="s">
        <v>29</v>
      </c>
      <c r="G16" s="21" t="s">
        <v>7</v>
      </c>
      <c r="H16" s="111" t="s">
        <v>30</v>
      </c>
      <c r="J16" s="20" t="s">
        <v>29</v>
      </c>
      <c r="K16" s="21" t="s">
        <v>7</v>
      </c>
      <c r="L16" s="111" t="s">
        <v>30</v>
      </c>
      <c r="N16" s="20" t="s">
        <v>29</v>
      </c>
      <c r="O16" s="21" t="s">
        <v>7</v>
      </c>
      <c r="P16" s="111" t="s">
        <v>30</v>
      </c>
      <c r="R16" s="20" t="s">
        <v>29</v>
      </c>
      <c r="S16" s="21" t="s">
        <v>7</v>
      </c>
      <c r="T16" s="111" t="s">
        <v>30</v>
      </c>
      <c r="V16" s="20" t="s">
        <v>29</v>
      </c>
      <c r="W16" s="21" t="s">
        <v>7</v>
      </c>
      <c r="X16" s="111" t="s">
        <v>30</v>
      </c>
      <c r="Z16" s="20" t="s">
        <v>29</v>
      </c>
      <c r="AA16" s="21" t="s">
        <v>7</v>
      </c>
      <c r="AB16" s="111" t="s">
        <v>30</v>
      </c>
      <c r="AD16" s="20" t="s">
        <v>29</v>
      </c>
      <c r="AE16" s="21" t="s">
        <v>7</v>
      </c>
      <c r="AF16" s="111" t="s">
        <v>30</v>
      </c>
      <c r="AH16" s="20" t="s">
        <v>29</v>
      </c>
      <c r="AI16" s="21" t="s">
        <v>7</v>
      </c>
      <c r="AJ16" s="111" t="s">
        <v>30</v>
      </c>
      <c r="AL16" s="20" t="s">
        <v>29</v>
      </c>
      <c r="AM16" s="21" t="s">
        <v>7</v>
      </c>
      <c r="AN16" s="111" t="s">
        <v>30</v>
      </c>
      <c r="AP16" s="20" t="s">
        <v>29</v>
      </c>
      <c r="AQ16" s="21" t="s">
        <v>7</v>
      </c>
      <c r="AR16" s="111" t="s">
        <v>30</v>
      </c>
      <c r="AS16" s="170"/>
      <c r="AT16" s="20" t="s">
        <v>29</v>
      </c>
      <c r="AU16" s="21" t="s">
        <v>7</v>
      </c>
      <c r="AV16" s="111" t="s">
        <v>30</v>
      </c>
    </row>
    <row r="17" spans="1:48" x14ac:dyDescent="0.55000000000000004">
      <c r="A17" t="str">
        <f>Input!A21</f>
        <v>Tier 1</v>
      </c>
      <c r="B17" s="23">
        <f>INDEX(Input!$C$21:$AL$25,MATCH('Residential Bills_Yr 3_avg'!$A17,Input!$A$21:$A$25,0),MATCH('Residential Bills_Yr 3_avg'!B$13,Input!$C$20:$AL$20,0))</f>
        <v>4.2841030680439296</v>
      </c>
      <c r="C17" s="24">
        <f>IF($B$7&gt;Input!F101,Input!F101,'Residential Bills_Yr 3_avg'!$B$7)</f>
        <v>6</v>
      </c>
      <c r="D17" s="25">
        <f>ROUND(IFERROR(B17*C17," "),2)</f>
        <v>25.7</v>
      </c>
      <c r="F17" s="23">
        <f>INDEX(Input!$C$21:$AL$25,MATCH('Residential Bills_Yr 3_avg'!$A17,Input!$A$21:$A$25,0),MATCH('Residential Bills_Yr 3_avg'!F$13,Input!$C$20:$AL$20,0))</f>
        <v>4.2841030680439296</v>
      </c>
      <c r="G17" s="24">
        <f>IF($B$7&gt;Input!G101,Input!G101,'Residential Bills_Yr 3_avg'!$B$7)</f>
        <v>6</v>
      </c>
      <c r="H17" s="25">
        <f>ROUND(IFERROR(F17*G17," "),2)</f>
        <v>25.7</v>
      </c>
      <c r="J17" s="23">
        <f>INDEX(Input!$C$21:$AL$25,MATCH('Residential Bills_Yr 3_avg'!$A17,Input!$A$21:$A$25,0),MATCH('Residential Bills_Yr 3_avg'!J$13,Input!$C$20:$AL$20,0))</f>
        <v>4.2841030680439296</v>
      </c>
      <c r="K17" s="24">
        <f>IF($B$7&gt;Input!H101,Input!H101,'Residential Bills_Yr 3_avg'!$B$7)</f>
        <v>6</v>
      </c>
      <c r="L17" s="25">
        <f>ROUND(IFERROR(J17*K17," "),2)</f>
        <v>25.7</v>
      </c>
      <c r="N17" s="23">
        <f>INDEX(Input!$C$21:$AL$25,MATCH('Residential Bills_Yr 3_avg'!$A17,Input!$A$21:$A$25,0),MATCH('Residential Bills_Yr 3_avg'!N$13,Input!$C$20:$AL$20,0))</f>
        <v>4.2841030680439296</v>
      </c>
      <c r="O17" s="24">
        <f>IF($B$7&gt;Input!I101,Input!I101,'Residential Bills_Yr 3_avg'!$B$7)</f>
        <v>6</v>
      </c>
      <c r="P17" s="25">
        <f>ROUND(IFERROR(N17*O17," "),2)</f>
        <v>25.7</v>
      </c>
      <c r="R17" s="23">
        <f>INDEX(Input!$C$21:$AL$25,MATCH('Residential Bills_Yr 3_avg'!$A17,Input!$A$21:$A$25,0),MATCH('Residential Bills_Yr 3_avg'!R$13,Input!$C$20:$AL$20,0))</f>
        <v>4.2841030680439296</v>
      </c>
      <c r="S17" s="24">
        <f>IF($B$7&gt;Input!J101,Input!J101,'Residential Bills_Yr 3_avg'!$B$7)</f>
        <v>6</v>
      </c>
      <c r="T17" s="25">
        <f>ROUND(IFERROR(R17*S17," "),2)</f>
        <v>25.7</v>
      </c>
      <c r="V17" s="23">
        <f>INDEX(Input!$C$21:$AL$25,MATCH('Residential Bills_Yr 3_avg'!$A17,Input!$A$21:$A$25,0),MATCH('Residential Bills_Yr 3_avg'!V$13,Input!$C$20:$AL$20,0))</f>
        <v>4.2841030680439296</v>
      </c>
      <c r="W17" s="24">
        <f>IF($B$7&gt;Input!K101,Input!K101,'Residential Bills_Yr 3_avg'!$B$7)</f>
        <v>6</v>
      </c>
      <c r="X17" s="25">
        <f>ROUND(IFERROR(V17*W17," "),2)</f>
        <v>25.7</v>
      </c>
      <c r="Z17" s="23">
        <f>INDEX(Input!$C$21:$AL$25,MATCH('Residential Bills_Yr 3_avg'!$A17,Input!$A$21:$A$25,0),MATCH('Residential Bills_Yr 3_avg'!Z$13,Input!$C$20:$AL$20,0))</f>
        <v>4.2841030680439296</v>
      </c>
      <c r="AA17" s="24">
        <f>IF($B$7&gt;Input!L101,Input!L101,'Residential Bills_Yr 3_avg'!$B$7)</f>
        <v>6</v>
      </c>
      <c r="AB17" s="25">
        <f>ROUND(IFERROR(Z17*AA17," "),2)</f>
        <v>25.7</v>
      </c>
      <c r="AD17" s="23">
        <f>INDEX(Input!$C$21:$AL$25,MATCH('Residential Bills_Yr 3_avg'!$A17,Input!$A$21:$A$25,0),MATCH('Residential Bills_Yr 3_avg'!AD$13,Input!$C$20:$AL$20,0))</f>
        <v>4.2841030680439296</v>
      </c>
      <c r="AE17" s="24">
        <f>IF($B$7&gt;Input!M101,Input!M101,'Residential Bills_Yr 3_avg'!$B$7)</f>
        <v>6</v>
      </c>
      <c r="AF17" s="25">
        <f>ROUND(IFERROR(AD17*AE17," "),2)</f>
        <v>25.7</v>
      </c>
      <c r="AH17" s="23">
        <f>INDEX(Input!$C$21:$AL$25,MATCH('Residential Bills_Yr 3_avg'!$A17,Input!$A$21:$A$25,0),MATCH('Residential Bills_Yr 3_avg'!AH$13,Input!$C$20:$AL$20,0))</f>
        <v>4.2841030680439296</v>
      </c>
      <c r="AI17" s="24">
        <f>IF($B$7&gt;Input!N101,Input!N101,'Residential Bills_Yr 3_avg'!$B$7)</f>
        <v>6</v>
      </c>
      <c r="AJ17" s="25">
        <f>ROUND(IFERROR(AH17*AI17," "),2)</f>
        <v>25.7</v>
      </c>
      <c r="AL17" s="23">
        <f>INDEX(Input!$C$21:$AL$25,MATCH('Residential Bills_Yr 3_avg'!$A17,Input!$A$21:$A$25,0),MATCH('Residential Bills_Yr 3_avg'!AL$13,Input!$C$20:$AL$20,0))</f>
        <v>4.2841030680439296</v>
      </c>
      <c r="AM17" s="24">
        <f>IF($B$7&gt;Input!O101,Input!O101,'Residential Bills_Yr 3_avg'!$B$7)</f>
        <v>6</v>
      </c>
      <c r="AN17" s="25">
        <f>ROUND(IFERROR(AL17*AM17," "),2)</f>
        <v>25.7</v>
      </c>
      <c r="AP17" s="23">
        <f>INDEX(Input!$C$21:$AL$25,MATCH('Residential Bills_Yr 3_avg'!$A17,Input!$A$21:$A$25,0),MATCH('Residential Bills_Yr 3_avg'!AP$13,Input!$C$20:$AL$20,0))</f>
        <v>4.2841030680439296</v>
      </c>
      <c r="AQ17" s="24">
        <f>IF($B$7&gt;Input!P101,Input!P101,'Residential Bills_Yr 3_avg'!$B$7)</f>
        <v>6</v>
      </c>
      <c r="AR17" s="25">
        <f>ROUND(IFERROR(AP17*AQ17," "),2)</f>
        <v>25.7</v>
      </c>
      <c r="AS17" s="30"/>
      <c r="AT17" s="23">
        <f>INDEX(Input!$C$21:$AL$25,MATCH('Residential Bills_Yr 3_avg'!$A17,Input!$A$21:$A$25,0),MATCH('Residential Bills_Yr 3_avg'!AT$13,Input!$C$20:$AL$20,0))</f>
        <v>4.2841030680439296</v>
      </c>
      <c r="AU17" s="24">
        <f>IF($B$7&gt;Input!Q101,Input!Q101,'Residential Bills_Yr 3_avg'!$B$7)</f>
        <v>6</v>
      </c>
      <c r="AV17" s="25">
        <f>ROUND(IFERROR(AT17*AU17," "),2)</f>
        <v>25.7</v>
      </c>
    </row>
    <row r="18" spans="1:48" x14ac:dyDescent="0.55000000000000004">
      <c r="A18" t="str">
        <f>Input!A22</f>
        <v>Tier 2</v>
      </c>
      <c r="B18" s="23">
        <f>INDEX(Input!$C$21:$AL$25,MATCH('Residential Bills_Yr 3_avg'!$A18,Input!$A$21:$A$25,0),MATCH('Residential Bills_Yr 3_avg'!B$13,Input!$C$20:$AL$20,0))</f>
        <v>6.1327533174439441</v>
      </c>
      <c r="C18" s="24">
        <f>IF(($B$7-C17)&gt;Input!F102,Input!F102,($B$7-C17))</f>
        <v>5</v>
      </c>
      <c r="D18" s="25">
        <f>ROUND(IFERROR(B18*C18," "),2)</f>
        <v>30.66</v>
      </c>
      <c r="F18" s="23">
        <f>INDEX(Input!$C$21:$AL$25,MATCH('Residential Bills_Yr 3_avg'!$A18,Input!$A$21:$A$25,0),MATCH('Residential Bills_Yr 3_avg'!F$13,Input!$C$20:$AL$20,0))</f>
        <v>6.1327533174439441</v>
      </c>
      <c r="G18" s="24">
        <f>IF(($B$7-G17)&gt;Input!G102,Input!G102,($B$7-G17))</f>
        <v>5</v>
      </c>
      <c r="H18" s="25">
        <f>ROUND(IFERROR(F18*G18," "),2)</f>
        <v>30.66</v>
      </c>
      <c r="J18" s="23">
        <f>INDEX(Input!$C$21:$AL$25,MATCH('Residential Bills_Yr 3_avg'!$A18,Input!$A$21:$A$25,0),MATCH('Residential Bills_Yr 3_avg'!J$13,Input!$C$20:$AL$20,0))</f>
        <v>6.1327533174439441</v>
      </c>
      <c r="K18" s="24">
        <f>IF(($B$7-K17)&gt;Input!H102,Input!H102,($B$7-K17))</f>
        <v>5</v>
      </c>
      <c r="L18" s="25">
        <f>ROUND(IFERROR(J18*K18," "),2)</f>
        <v>30.66</v>
      </c>
      <c r="N18" s="23">
        <f>INDEX(Input!$C$21:$AL$25,MATCH('Residential Bills_Yr 3_avg'!$A18,Input!$A$21:$A$25,0),MATCH('Residential Bills_Yr 3_avg'!N$13,Input!$C$20:$AL$20,0))</f>
        <v>6.1327533174439441</v>
      </c>
      <c r="O18" s="24">
        <f>IF(($B$7-O17)&gt;Input!I102,Input!I102,($B$7-O17))</f>
        <v>5</v>
      </c>
      <c r="P18" s="25">
        <f>ROUND(IFERROR(N18*O18," "),2)</f>
        <v>30.66</v>
      </c>
      <c r="R18" s="23">
        <f>INDEX(Input!$C$21:$AL$25,MATCH('Residential Bills_Yr 3_avg'!$A18,Input!$A$21:$A$25,0),MATCH('Residential Bills_Yr 3_avg'!R$13,Input!$C$20:$AL$20,0))</f>
        <v>6.1327533174439441</v>
      </c>
      <c r="S18" s="24">
        <f>IF(($B$7-S17)&gt;Input!J102,Input!J102,($B$7-S17))</f>
        <v>5</v>
      </c>
      <c r="T18" s="25">
        <f>ROUND(IFERROR(R18*S18," "),2)</f>
        <v>30.66</v>
      </c>
      <c r="V18" s="23">
        <f>INDEX(Input!$C$21:$AL$25,MATCH('Residential Bills_Yr 3_avg'!$A18,Input!$A$21:$A$25,0),MATCH('Residential Bills_Yr 3_avg'!V$13,Input!$C$20:$AL$20,0))</f>
        <v>6.1327533174439441</v>
      </c>
      <c r="W18" s="24">
        <f>IF(($B$7-W17)&gt;Input!K102,Input!K102,($B$7-W17))</f>
        <v>5</v>
      </c>
      <c r="X18" s="25">
        <f>ROUND(IFERROR(V18*W18," "),2)</f>
        <v>30.66</v>
      </c>
      <c r="Z18" s="23">
        <f>INDEX(Input!$C$21:$AL$25,MATCH('Residential Bills_Yr 3_avg'!$A18,Input!$A$21:$A$25,0),MATCH('Residential Bills_Yr 3_avg'!Z$13,Input!$C$20:$AL$20,0))</f>
        <v>6.1327533174439441</v>
      </c>
      <c r="AA18" s="24">
        <f>IF(($B$7-AA17)&gt;Input!L102,Input!L102,($B$7-AA17))</f>
        <v>5</v>
      </c>
      <c r="AB18" s="25">
        <f>ROUND(IFERROR(Z18*AA18," "),2)</f>
        <v>30.66</v>
      </c>
      <c r="AD18" s="23">
        <f>INDEX(Input!$C$21:$AL$25,MATCH('Residential Bills_Yr 3_avg'!$A18,Input!$A$21:$A$25,0),MATCH('Residential Bills_Yr 3_avg'!AD$13,Input!$C$20:$AL$20,0))</f>
        <v>6.1327533174439441</v>
      </c>
      <c r="AE18" s="24">
        <f>IF(($B$7-AE17)&gt;Input!M102,Input!M102,($B$7-AE17))</f>
        <v>5</v>
      </c>
      <c r="AF18" s="25">
        <f>ROUND(IFERROR(AD18*AE18," "),2)</f>
        <v>30.66</v>
      </c>
      <c r="AH18" s="23">
        <f>INDEX(Input!$C$21:$AL$25,MATCH('Residential Bills_Yr 3_avg'!$A18,Input!$A$21:$A$25,0),MATCH('Residential Bills_Yr 3_avg'!AH$13,Input!$C$20:$AL$20,0))</f>
        <v>6.1327533174439441</v>
      </c>
      <c r="AI18" s="24">
        <f>IF(($B$7-AI17)&gt;Input!N102,Input!N102,($B$7-AI17))</f>
        <v>5</v>
      </c>
      <c r="AJ18" s="25">
        <f>ROUND(IFERROR(AH18*AI18," "),2)</f>
        <v>30.66</v>
      </c>
      <c r="AL18" s="23">
        <f>INDEX(Input!$C$21:$AL$25,MATCH('Residential Bills_Yr 3_avg'!$A18,Input!$A$21:$A$25,0),MATCH('Residential Bills_Yr 3_avg'!AL$13,Input!$C$20:$AL$20,0))</f>
        <v>6.1327533174439441</v>
      </c>
      <c r="AM18" s="24">
        <f>IF(($B$7-AM17)&gt;Input!O102,Input!O102,($B$7-AM17))</f>
        <v>5</v>
      </c>
      <c r="AN18" s="25">
        <f>ROUND(IFERROR(AL18*AM18," "),2)</f>
        <v>30.66</v>
      </c>
      <c r="AP18" s="23">
        <f>INDEX(Input!$C$21:$AL$25,MATCH('Residential Bills_Yr 3_avg'!$A18,Input!$A$21:$A$25,0),MATCH('Residential Bills_Yr 3_avg'!AP$13,Input!$C$20:$AL$20,0))</f>
        <v>6.1327533174439441</v>
      </c>
      <c r="AQ18" s="24">
        <f>IF(($B$7-AQ17)&gt;Input!P102,Input!P102,($B$7-AQ17))</f>
        <v>5</v>
      </c>
      <c r="AR18" s="25">
        <f>ROUND(IFERROR(AP18*AQ18," "),2)</f>
        <v>30.66</v>
      </c>
      <c r="AS18" s="30"/>
      <c r="AT18" s="23">
        <f>INDEX(Input!$C$21:$AL$25,MATCH('Residential Bills_Yr 3_avg'!$A18,Input!$A$21:$A$25,0),MATCH('Residential Bills_Yr 3_avg'!AT$13,Input!$C$20:$AL$20,0))</f>
        <v>6.1327533174439441</v>
      </c>
      <c r="AU18" s="24">
        <f>IF(($B$7-AU17)&gt;Input!Q102,Input!Q102,($B$7-AU17))</f>
        <v>5</v>
      </c>
      <c r="AV18" s="25">
        <f>ROUND(IFERROR(AT18*AU18," "),2)</f>
        <v>30.66</v>
      </c>
    </row>
    <row r="19" spans="1:48" x14ac:dyDescent="0.55000000000000004">
      <c r="A19" t="str">
        <f>Input!A23</f>
        <v>Tier 3</v>
      </c>
      <c r="B19" s="23">
        <f>INDEX(Input!$C$21:$AL$25,MATCH('Residential Bills_Yr 3_avg'!$A19,Input!$A$21:$A$25,0),MATCH('Residential Bills_Yr 3_avg'!B$13,Input!$C$20:$AL$20,0))</f>
        <v>9.4739837944770233</v>
      </c>
      <c r="C19" s="24">
        <f>IF(OR(Input!F99="Tier 4",Input!F99="Tier 5"),IF(('Residential Bills_Yr 3_avg'!$B$7-'Residential Bills_Yr 3_avg'!C17-'Residential Bills_Yr 3_avg'!C18)&gt;Input!F103,Input!F103,('Residential Bills_Yr 3_avg'!$B$7-'Residential Bills_Yr 3_avg'!C17-'Residential Bills_Yr 3_avg'!C18)),('Residential Bills_Yr 3_avg'!$B$7-'Residential Bills_Yr 3_avg'!C17-'Residential Bills_Yr 3_avg'!C18))</f>
        <v>0</v>
      </c>
      <c r="D19" s="25">
        <f>ROUND(IFERROR(B19*C19," "),2)</f>
        <v>0</v>
      </c>
      <c r="F19" s="23">
        <f>INDEX(Input!$C$21:$AL$25,MATCH('Residential Bills_Yr 3_avg'!$A19,Input!$A$21:$A$25,0),MATCH('Residential Bills_Yr 3_avg'!F$13,Input!$C$20:$AL$20,0))</f>
        <v>9.4739837944770233</v>
      </c>
      <c r="G19" s="24">
        <f>IF(OR(Input!G99="Tier 4",Input!G99="Tier 5"),IF(('Residential Bills_Yr 3_avg'!$B$7-'Residential Bills_Yr 3_avg'!G17-'Residential Bills_Yr 3_avg'!G18)&gt;Input!G103,Input!G103,('Residential Bills_Yr 3_avg'!$B$7-'Residential Bills_Yr 3_avg'!G17-'Residential Bills_Yr 3_avg'!G18)),('Residential Bills_Yr 3_avg'!$B$7-'Residential Bills_Yr 3_avg'!G17-'Residential Bills_Yr 3_avg'!G18))</f>
        <v>0</v>
      </c>
      <c r="H19" s="25">
        <f>ROUND(IFERROR(F19*G19," "),2)</f>
        <v>0</v>
      </c>
      <c r="J19" s="23">
        <f>INDEX(Input!$C$21:$AL$25,MATCH('Residential Bills_Yr 3_avg'!$A19,Input!$A$21:$A$25,0),MATCH('Residential Bills_Yr 3_avg'!J$13,Input!$C$20:$AL$20,0))</f>
        <v>9.4739837944770233</v>
      </c>
      <c r="K19" s="24">
        <f>IF(OR(Input!H99="Tier 4",Input!H99="Tier 5"),IF(('Residential Bills_Yr 3_avg'!$B$7-'Residential Bills_Yr 3_avg'!K17-'Residential Bills_Yr 3_avg'!K18)&gt;Input!H103,Input!H103,('Residential Bills_Yr 3_avg'!$B$7-'Residential Bills_Yr 3_avg'!K17-'Residential Bills_Yr 3_avg'!K18)),('Residential Bills_Yr 3_avg'!$B$7-'Residential Bills_Yr 3_avg'!K17-'Residential Bills_Yr 3_avg'!K18))</f>
        <v>0</v>
      </c>
      <c r="L19" s="25">
        <f>ROUND(IFERROR(J19*K19," "),2)</f>
        <v>0</v>
      </c>
      <c r="N19" s="23">
        <f>INDEX(Input!$C$21:$AL$25,MATCH('Residential Bills_Yr 3_avg'!$A19,Input!$A$21:$A$25,0),MATCH('Residential Bills_Yr 3_avg'!N$13,Input!$C$20:$AL$20,0))</f>
        <v>9.4739837944770233</v>
      </c>
      <c r="O19" s="24">
        <f>IF(OR(Input!I99="Tier 4",Input!I99="Tier 5"),IF(('Residential Bills_Yr 3_avg'!$B$7-'Residential Bills_Yr 3_avg'!O17-'Residential Bills_Yr 3_avg'!O18)&gt;Input!I103,Input!I103,('Residential Bills_Yr 3_avg'!$B$7-'Residential Bills_Yr 3_avg'!O17-'Residential Bills_Yr 3_avg'!O18)),('Residential Bills_Yr 3_avg'!$B$7-'Residential Bills_Yr 3_avg'!O17-'Residential Bills_Yr 3_avg'!O18))</f>
        <v>0</v>
      </c>
      <c r="P19" s="25">
        <f>ROUND(IFERROR(N19*O19," "),2)</f>
        <v>0</v>
      </c>
      <c r="R19" s="23">
        <f>INDEX(Input!$C$21:$AL$25,MATCH('Residential Bills_Yr 3_avg'!$A19,Input!$A$21:$A$25,0),MATCH('Residential Bills_Yr 3_avg'!R$13,Input!$C$20:$AL$20,0))</f>
        <v>9.4739837944770233</v>
      </c>
      <c r="S19" s="24">
        <f>IF(OR(Input!J99="Tier 4",Input!J99="Tier 5"),IF(('Residential Bills_Yr 3_avg'!$B$7-'Residential Bills_Yr 3_avg'!S17-'Residential Bills_Yr 3_avg'!S18)&gt;Input!J103,Input!J103,('Residential Bills_Yr 3_avg'!$B$7-'Residential Bills_Yr 3_avg'!S17-'Residential Bills_Yr 3_avg'!S18)),('Residential Bills_Yr 3_avg'!$B$7-'Residential Bills_Yr 3_avg'!S17-'Residential Bills_Yr 3_avg'!S18))</f>
        <v>0</v>
      </c>
      <c r="T19" s="25">
        <f>ROUND(IFERROR(R19*S19," "),2)</f>
        <v>0</v>
      </c>
      <c r="V19" s="23">
        <f>INDEX(Input!$C$21:$AL$25,MATCH('Residential Bills_Yr 3_avg'!$A19,Input!$A$21:$A$25,0),MATCH('Residential Bills_Yr 3_avg'!V$13,Input!$C$20:$AL$20,0))</f>
        <v>9.4739837944770233</v>
      </c>
      <c r="W19" s="24">
        <f>IF(OR(Input!K99="Tier 4",Input!K99="Tier 5"),IF(('Residential Bills_Yr 3_avg'!$B$7-'Residential Bills_Yr 3_avg'!W17-'Residential Bills_Yr 3_avg'!W18)&gt;Input!K103,Input!K103,('Residential Bills_Yr 3_avg'!$B$7-'Residential Bills_Yr 3_avg'!W17-'Residential Bills_Yr 3_avg'!W18)),('Residential Bills_Yr 3_avg'!$B$7-'Residential Bills_Yr 3_avg'!W17-'Residential Bills_Yr 3_avg'!W18))</f>
        <v>0</v>
      </c>
      <c r="X19" s="25">
        <f>ROUND(IFERROR(V19*W19," "),2)</f>
        <v>0</v>
      </c>
      <c r="Z19" s="23">
        <f>INDEX(Input!$C$21:$AL$25,MATCH('Residential Bills_Yr 3_avg'!$A19,Input!$A$21:$A$25,0),MATCH('Residential Bills_Yr 3_avg'!Z$13,Input!$C$20:$AL$20,0))</f>
        <v>9.4739837944770233</v>
      </c>
      <c r="AA19" s="24">
        <f>IF(OR(Input!L99="Tier 4",Input!L99="Tier 5"),IF(('Residential Bills_Yr 3_avg'!$B$7-'Residential Bills_Yr 3_avg'!AA17-'Residential Bills_Yr 3_avg'!AA18)&gt;Input!L103,Input!L103,('Residential Bills_Yr 3_avg'!$B$7-'Residential Bills_Yr 3_avg'!AA17-'Residential Bills_Yr 3_avg'!AA18)),('Residential Bills_Yr 3_avg'!$B$7-'Residential Bills_Yr 3_avg'!AA17-'Residential Bills_Yr 3_avg'!AA18))</f>
        <v>0</v>
      </c>
      <c r="AB19" s="25">
        <f>ROUND(IFERROR(Z19*AA19," "),2)</f>
        <v>0</v>
      </c>
      <c r="AD19" s="23">
        <f>INDEX(Input!$C$21:$AL$25,MATCH('Residential Bills_Yr 3_avg'!$A19,Input!$A$21:$A$25,0),MATCH('Residential Bills_Yr 3_avg'!AD$13,Input!$C$20:$AL$20,0))</f>
        <v>9.4739837944770233</v>
      </c>
      <c r="AE19" s="24">
        <f>IF(OR(Input!M99="Tier 4",Input!M99="Tier 5"),IF(('Residential Bills_Yr 3_avg'!$B$7-'Residential Bills_Yr 3_avg'!AE17-'Residential Bills_Yr 3_avg'!AE18)&gt;Input!M103,Input!M103,('Residential Bills_Yr 3_avg'!$B$7-'Residential Bills_Yr 3_avg'!AE17-'Residential Bills_Yr 3_avg'!AE18)),('Residential Bills_Yr 3_avg'!$B$7-'Residential Bills_Yr 3_avg'!AE17-'Residential Bills_Yr 3_avg'!AE18))</f>
        <v>0</v>
      </c>
      <c r="AF19" s="25">
        <f>ROUND(IFERROR(AD19*AE19," "),2)</f>
        <v>0</v>
      </c>
      <c r="AH19" s="23">
        <f>INDEX(Input!$C$21:$AL$25,MATCH('Residential Bills_Yr 3_avg'!$A19,Input!$A$21:$A$25,0),MATCH('Residential Bills_Yr 3_avg'!AH$13,Input!$C$20:$AL$20,0))</f>
        <v>9.4739837944770233</v>
      </c>
      <c r="AI19" s="24">
        <f>IF(OR(Input!N99="Tier 4",Input!N99="Tier 5"),IF(('Residential Bills_Yr 3_avg'!$B$7-'Residential Bills_Yr 3_avg'!AI17-'Residential Bills_Yr 3_avg'!AI18)&gt;Input!N103,Input!N103,('Residential Bills_Yr 3_avg'!$B$7-'Residential Bills_Yr 3_avg'!AI17-'Residential Bills_Yr 3_avg'!AI18)),('Residential Bills_Yr 3_avg'!$B$7-'Residential Bills_Yr 3_avg'!AI17-'Residential Bills_Yr 3_avg'!AI18))</f>
        <v>0</v>
      </c>
      <c r="AJ19" s="25">
        <f>ROUND(IFERROR(AH19*AI19," "),2)</f>
        <v>0</v>
      </c>
      <c r="AL19" s="23">
        <f>INDEX(Input!$C$21:$AL$25,MATCH('Residential Bills_Yr 3_avg'!$A19,Input!$A$21:$A$25,0),MATCH('Residential Bills_Yr 3_avg'!AL$13,Input!$C$20:$AL$20,0))</f>
        <v>9.4739837944770233</v>
      </c>
      <c r="AM19" s="24">
        <f>IF(OR(Input!O99="Tier 4",Input!O99="Tier 5"),IF(('Residential Bills_Yr 3_avg'!$B$7-'Residential Bills_Yr 3_avg'!AM17-'Residential Bills_Yr 3_avg'!AM18)&gt;Input!O103,Input!O103,('Residential Bills_Yr 3_avg'!$B$7-'Residential Bills_Yr 3_avg'!AM17-'Residential Bills_Yr 3_avg'!AM18)),('Residential Bills_Yr 3_avg'!$B$7-'Residential Bills_Yr 3_avg'!AM17-'Residential Bills_Yr 3_avg'!AM18))</f>
        <v>0</v>
      </c>
      <c r="AN19" s="25">
        <f>ROUND(IFERROR(AL19*AM19," "),2)</f>
        <v>0</v>
      </c>
      <c r="AP19" s="23">
        <f>INDEX(Input!$C$21:$AL$25,MATCH('Residential Bills_Yr 3_avg'!$A19,Input!$A$21:$A$25,0),MATCH('Residential Bills_Yr 3_avg'!AP$13,Input!$C$20:$AL$20,0))</f>
        <v>9.4739837944770233</v>
      </c>
      <c r="AQ19" s="24">
        <f>IF(OR(Input!P99="Tier 4",Input!P99="Tier 5"),IF(('Residential Bills_Yr 3_avg'!$B$7-'Residential Bills_Yr 3_avg'!AQ17-'Residential Bills_Yr 3_avg'!AQ18)&gt;Input!P103,Input!P103,('Residential Bills_Yr 3_avg'!$B$7-'Residential Bills_Yr 3_avg'!AQ17-'Residential Bills_Yr 3_avg'!AQ18)),('Residential Bills_Yr 3_avg'!$B$7-'Residential Bills_Yr 3_avg'!AQ17-'Residential Bills_Yr 3_avg'!AQ18))</f>
        <v>0</v>
      </c>
      <c r="AR19" s="25">
        <f>ROUND(IFERROR(AP19*AQ19," "),2)</f>
        <v>0</v>
      </c>
      <c r="AS19" s="30"/>
      <c r="AT19" s="23">
        <f>INDEX(Input!$C$21:$AL$25,MATCH('Residential Bills_Yr 3_avg'!$A19,Input!$A$21:$A$25,0),MATCH('Residential Bills_Yr 3_avg'!AT$13,Input!$C$20:$AL$20,0))</f>
        <v>9.4739837944770233</v>
      </c>
      <c r="AU19" s="24">
        <f>IF(OR(Input!Q99="Tier 4",Input!Q99="Tier 5"),IF(('Residential Bills_Yr 3_avg'!$B$7-'Residential Bills_Yr 3_avg'!AU17-'Residential Bills_Yr 3_avg'!AU18)&gt;Input!Q103,Input!Q103,('Residential Bills_Yr 3_avg'!$B$7-'Residential Bills_Yr 3_avg'!AU17-'Residential Bills_Yr 3_avg'!AU18)),('Residential Bills_Yr 3_avg'!$B$7-'Residential Bills_Yr 3_avg'!AU17-'Residential Bills_Yr 3_avg'!AU18))</f>
        <v>0</v>
      </c>
      <c r="AV19" s="25">
        <f>ROUND(IFERROR(AT19*AU19," "),2)</f>
        <v>0</v>
      </c>
    </row>
    <row r="20" spans="1:48" ht="14.5" customHeight="1" x14ac:dyDescent="0.55000000000000004">
      <c r="A20" t="str">
        <f>Input!A24</f>
        <v>Tier 4</v>
      </c>
      <c r="B20" s="23">
        <f>INDEX(Input!$C$21:$AL$25,MATCH('Residential Bills_Yr 3_avg'!$A20,Input!$A$21:$A$25,0),MATCH('Residential Bills_Yr 3_avg'!B$13,Input!$C$20:$AL$20,0))</f>
        <v>0</v>
      </c>
      <c r="C20" s="24" t="str">
        <f>IF(Input!F99="Tier 4",($B$7-C17-C18-C19),IF(Input!F99="Tier 5",IF(('Residential Bills_Yr 3_avg'!$B$7-'Residential Bills_Yr 3_avg'!C17-'Residential Bills_Yr 3_avg'!C18-'Residential Bills_Yr 3_avg'!C19)&gt;Input!F104,Input!F104,('Residential Bills_Yr 3_avg'!$B$7-'Residential Bills_Yr 3_avg'!C17-'Residential Bills_Yr 3_avg'!C18-'Residential Bills_Yr 3_avg'!C19))," "))</f>
        <v xml:space="preserve"> </v>
      </c>
      <c r="D20" s="25" t="str">
        <f t="shared" ref="D20:D21" si="0">IFERROR(B20*C20," ")</f>
        <v xml:space="preserve"> </v>
      </c>
      <c r="F20" s="23">
        <f>INDEX(Input!$C$21:$AL$25,MATCH('Residential Bills_Yr 3_avg'!$A20,Input!$A$21:$A$25,0),MATCH('Residential Bills_Yr 3_avg'!F$13,Input!$C$20:$AL$20,0))</f>
        <v>0</v>
      </c>
      <c r="G20" s="24" t="str">
        <f>IF(Input!G99="Tier 4",($B$7-G17-G18-G19),IF(Input!G99="Tier 5",IF(('Residential Bills_Yr 3_avg'!$B$7-'Residential Bills_Yr 3_avg'!G17-'Residential Bills_Yr 3_avg'!G18-'Residential Bills_Yr 3_avg'!G19)&gt;Input!G104,Input!G104,('Residential Bills_Yr 3_avg'!$B$7-'Residential Bills_Yr 3_avg'!G17-'Residential Bills_Yr 3_avg'!G18-'Residential Bills_Yr 3_avg'!G19))," "))</f>
        <v xml:space="preserve"> </v>
      </c>
      <c r="H20" s="25" t="str">
        <f t="shared" ref="H20:H21" si="1">IFERROR(F20*G20," ")</f>
        <v xml:space="preserve"> </v>
      </c>
      <c r="J20" s="23">
        <f>INDEX(Input!$C$21:$AL$25,MATCH('Residential Bills_Yr 3_avg'!$A20,Input!$A$21:$A$25,0),MATCH('Residential Bills_Yr 3_avg'!J$13,Input!$C$20:$AL$20,0))</f>
        <v>0</v>
      </c>
      <c r="K20" s="24" t="str">
        <f>IF(Input!H99="Tier 4",($B$7-K17-K18-K19),IF(Input!H99="Tier 5",IF(('Residential Bills_Yr 3_avg'!$B$7-'Residential Bills_Yr 3_avg'!K17-'Residential Bills_Yr 3_avg'!K18-'Residential Bills_Yr 3_avg'!K19)&gt;Input!H104,Input!H104,('Residential Bills_Yr 3_avg'!$B$7-'Residential Bills_Yr 3_avg'!K17-'Residential Bills_Yr 3_avg'!K18-'Residential Bills_Yr 3_avg'!K19))," "))</f>
        <v xml:space="preserve"> </v>
      </c>
      <c r="L20" s="25" t="str">
        <f t="shared" ref="L20:L21" si="2">IFERROR(J20*K20," ")</f>
        <v xml:space="preserve"> </v>
      </c>
      <c r="N20" s="23">
        <f>INDEX(Input!$C$21:$AL$25,MATCH('Residential Bills_Yr 3_avg'!$A20,Input!$A$21:$A$25,0),MATCH('Residential Bills_Yr 3_avg'!N$13,Input!$C$20:$AL$20,0))</f>
        <v>0</v>
      </c>
      <c r="O20" s="24" t="str">
        <f>IF(Input!I99="Tier 4",($B$7-O17-O18-O19),IF(Input!I99="Tier 5",IF(('Residential Bills_Yr 3_avg'!$B$7-'Residential Bills_Yr 3_avg'!O17-'Residential Bills_Yr 3_avg'!O18-'Residential Bills_Yr 3_avg'!O19)&gt;Input!I104,Input!I104,('Residential Bills_Yr 3_avg'!$B$7-'Residential Bills_Yr 3_avg'!O17-'Residential Bills_Yr 3_avg'!O18-'Residential Bills_Yr 3_avg'!O19))," "))</f>
        <v xml:space="preserve"> </v>
      </c>
      <c r="P20" s="25" t="str">
        <f t="shared" ref="P20:P21" si="3">IFERROR(N20*O20," ")</f>
        <v xml:space="preserve"> </v>
      </c>
      <c r="R20" s="23">
        <f>INDEX(Input!$C$21:$AL$25,MATCH('Residential Bills_Yr 3_avg'!$A20,Input!$A$21:$A$25,0),MATCH('Residential Bills_Yr 3_avg'!R$13,Input!$C$20:$AL$20,0))</f>
        <v>0</v>
      </c>
      <c r="S20" s="24" t="str">
        <f>IF(Input!J99="Tier 4",($B$7-S17-S18-S19),IF(Input!J99="Tier 5",IF(('Residential Bills_Yr 3_avg'!$B$7-'Residential Bills_Yr 3_avg'!S17-'Residential Bills_Yr 3_avg'!S18-'Residential Bills_Yr 3_avg'!S19)&gt;Input!J104,Input!J104,('Residential Bills_Yr 3_avg'!$B$7-'Residential Bills_Yr 3_avg'!S17-'Residential Bills_Yr 3_avg'!S18-'Residential Bills_Yr 3_avg'!S19))," "))</f>
        <v xml:space="preserve"> </v>
      </c>
      <c r="T20" s="25" t="str">
        <f t="shared" ref="T20:T21" si="4">IFERROR(R20*S20," ")</f>
        <v xml:space="preserve"> </v>
      </c>
      <c r="V20" s="23">
        <f>INDEX(Input!$C$21:$AL$25,MATCH('Residential Bills_Yr 3_avg'!$A20,Input!$A$21:$A$25,0),MATCH('Residential Bills_Yr 3_avg'!V$13,Input!$C$20:$AL$20,0))</f>
        <v>0</v>
      </c>
      <c r="W20" s="24" t="str">
        <f>IF(Input!K99="Tier 4",($B$7-W17-W18-W19),IF(Input!K99="Tier 5",IF(('Residential Bills_Yr 3_avg'!$B$7-'Residential Bills_Yr 3_avg'!W17-'Residential Bills_Yr 3_avg'!W18-'Residential Bills_Yr 3_avg'!W19)&gt;Input!K104,Input!K104,('Residential Bills_Yr 3_avg'!$B$7-'Residential Bills_Yr 3_avg'!W17-'Residential Bills_Yr 3_avg'!W18-'Residential Bills_Yr 3_avg'!W19))," "))</f>
        <v xml:space="preserve"> </v>
      </c>
      <c r="X20" s="25" t="str">
        <f t="shared" ref="X20:X21" si="5">IFERROR(V20*W20," ")</f>
        <v xml:space="preserve"> </v>
      </c>
      <c r="Z20" s="23">
        <f>INDEX(Input!$C$21:$AL$25,MATCH('Residential Bills_Yr 3_avg'!$A20,Input!$A$21:$A$25,0),MATCH('Residential Bills_Yr 3_avg'!Z$13,Input!$C$20:$AL$20,0))</f>
        <v>0</v>
      </c>
      <c r="AA20" s="24" t="str">
        <f>IF(Input!L99="Tier 4",($B$7-AA17-AA18-AA19),IF(Input!L99="Tier 5",IF(('Residential Bills_Yr 3_avg'!$B$7-'Residential Bills_Yr 3_avg'!AA17-'Residential Bills_Yr 3_avg'!AA18-'Residential Bills_Yr 3_avg'!AA19)&gt;Input!L104,Input!L104,('Residential Bills_Yr 3_avg'!$B$7-'Residential Bills_Yr 3_avg'!AA17-'Residential Bills_Yr 3_avg'!AA18-'Residential Bills_Yr 3_avg'!AA19))," "))</f>
        <v xml:space="preserve"> </v>
      </c>
      <c r="AB20" s="25" t="str">
        <f t="shared" ref="AB20:AB21" si="6">IFERROR(Z20*AA20," ")</f>
        <v xml:space="preserve"> </v>
      </c>
      <c r="AD20" s="23">
        <f>INDEX(Input!$C$21:$AL$25,MATCH('Residential Bills_Yr 3_avg'!$A20,Input!$A$21:$A$25,0),MATCH('Residential Bills_Yr 3_avg'!AD$13,Input!$C$20:$AL$20,0))</f>
        <v>0</v>
      </c>
      <c r="AE20" s="24" t="str">
        <f>IF(Input!M99="Tier 4",($B$7-AE17-AE18-AE19),IF(Input!M99="Tier 5",IF(('Residential Bills_Yr 3_avg'!$B$7-'Residential Bills_Yr 3_avg'!AE17-'Residential Bills_Yr 3_avg'!AE18-'Residential Bills_Yr 3_avg'!AE19)&gt;Input!M104,Input!M104,('Residential Bills_Yr 3_avg'!$B$7-'Residential Bills_Yr 3_avg'!AE17-'Residential Bills_Yr 3_avg'!AE18-'Residential Bills_Yr 3_avg'!AE19))," "))</f>
        <v xml:space="preserve"> </v>
      </c>
      <c r="AF20" s="25" t="str">
        <f t="shared" ref="AF20:AF21" si="7">IFERROR(AD20*AE20," ")</f>
        <v xml:space="preserve"> </v>
      </c>
      <c r="AH20" s="23">
        <f>INDEX(Input!$C$21:$AL$25,MATCH('Residential Bills_Yr 3_avg'!$A20,Input!$A$21:$A$25,0),MATCH('Residential Bills_Yr 3_avg'!AH$13,Input!$C$20:$AL$20,0))</f>
        <v>0</v>
      </c>
      <c r="AI20" s="24" t="str">
        <f>IF(Input!N99="Tier 4",($B$7-AI17-AI18-AI19),IF(Input!N99="Tier 5",IF(('Residential Bills_Yr 3_avg'!$B$7-'Residential Bills_Yr 3_avg'!AI17-'Residential Bills_Yr 3_avg'!AI18-'Residential Bills_Yr 3_avg'!AI19)&gt;Input!N104,Input!N104,('Residential Bills_Yr 3_avg'!$B$7-'Residential Bills_Yr 3_avg'!AI17-'Residential Bills_Yr 3_avg'!AI18-'Residential Bills_Yr 3_avg'!AI19))," "))</f>
        <v xml:space="preserve"> </v>
      </c>
      <c r="AJ20" s="25" t="str">
        <f t="shared" ref="AJ20:AJ21" si="8">IFERROR(AH20*AI20," ")</f>
        <v xml:space="preserve"> </v>
      </c>
      <c r="AL20" s="23">
        <f>INDEX(Input!$C$21:$AL$25,MATCH('Residential Bills_Yr 3_avg'!$A20,Input!$A$21:$A$25,0),MATCH('Residential Bills_Yr 3_avg'!AL$13,Input!$C$20:$AL$20,0))</f>
        <v>0</v>
      </c>
      <c r="AM20" s="24" t="str">
        <f>IF(Input!O99="Tier 4",($B$7-AM17-AM18-AM19),IF(Input!O99="Tier 5",IF(('Residential Bills_Yr 3_avg'!$B$7-'Residential Bills_Yr 3_avg'!AM17-'Residential Bills_Yr 3_avg'!AM18-'Residential Bills_Yr 3_avg'!AM19)&gt;Input!O104,Input!O104,('Residential Bills_Yr 3_avg'!$B$7-'Residential Bills_Yr 3_avg'!AM17-'Residential Bills_Yr 3_avg'!AM18-'Residential Bills_Yr 3_avg'!AM19))," "))</f>
        <v xml:space="preserve"> </v>
      </c>
      <c r="AN20" s="25" t="str">
        <f t="shared" ref="AN20:AN21" si="9">IFERROR(AL20*AM20," ")</f>
        <v xml:space="preserve"> </v>
      </c>
      <c r="AP20" s="23">
        <f>INDEX(Input!$C$21:$AL$25,MATCH('Residential Bills_Yr 3_avg'!$A20,Input!$A$21:$A$25,0),MATCH('Residential Bills_Yr 3_avg'!AP$13,Input!$C$20:$AL$20,0))</f>
        <v>0</v>
      </c>
      <c r="AQ20" s="24" t="str">
        <f>IF(Input!P99="Tier 4",($B$7-AQ17-AQ18-AQ19),IF(Input!P99="Tier 5",IF(('Residential Bills_Yr 3_avg'!$B$7-'Residential Bills_Yr 3_avg'!AQ17-'Residential Bills_Yr 3_avg'!AQ18-'Residential Bills_Yr 3_avg'!AQ19)&gt;Input!P104,Input!P104,('Residential Bills_Yr 3_avg'!$B$7-'Residential Bills_Yr 3_avg'!AQ17-'Residential Bills_Yr 3_avg'!AQ18-'Residential Bills_Yr 3_avg'!AQ19))," "))</f>
        <v xml:space="preserve"> </v>
      </c>
      <c r="AR20" s="25" t="str">
        <f t="shared" ref="AR20:AR21" si="10">IFERROR(AP20*AQ20," ")</f>
        <v xml:space="preserve"> </v>
      </c>
      <c r="AS20" s="30"/>
      <c r="AT20" s="23">
        <f>INDEX(Input!$C$21:$AL$25,MATCH('Residential Bills_Yr 3_avg'!$A20,Input!$A$21:$A$25,0),MATCH('Residential Bills_Yr 3_avg'!AT$13,Input!$C$20:$AL$20,0))</f>
        <v>0</v>
      </c>
      <c r="AU20" s="24" t="str">
        <f>IF(Input!Q99="Tier 4",($B$7-AU17-AU18-AU19),IF(Input!Q99="Tier 5",IF(('Residential Bills_Yr 3_avg'!$B$7-'Residential Bills_Yr 3_avg'!AU17-'Residential Bills_Yr 3_avg'!AU18-'Residential Bills_Yr 3_avg'!AU19)&gt;Input!Q104,Input!Q104,('Residential Bills_Yr 3_avg'!$B$7-'Residential Bills_Yr 3_avg'!AU17-'Residential Bills_Yr 3_avg'!AU18-'Residential Bills_Yr 3_avg'!AU19))," "))</f>
        <v xml:space="preserve"> </v>
      </c>
      <c r="AV20" s="25" t="str">
        <f t="shared" ref="AV20:AV21" si="11">IFERROR(AT20*AU20," ")</f>
        <v xml:space="preserve"> </v>
      </c>
    </row>
    <row r="21" spans="1:48" ht="14.5" customHeight="1" x14ac:dyDescent="0.55000000000000004">
      <c r="A21" t="str">
        <f>Input!A25</f>
        <v>Tier 5</v>
      </c>
      <c r="B21" s="23">
        <f>INDEX(Input!$C$21:$AL$25,MATCH('Residential Bills_Yr 3_avg'!$A21,Input!$A$21:$A$25,0),MATCH('Residential Bills_Yr 3_avg'!B$13,Input!$C$20:$AL$20,0))</f>
        <v>0</v>
      </c>
      <c r="C21" s="24" t="str">
        <f>IF(Input!F99="Tier 5",('Residential Bills_Yr 3_avg'!$B$7-'Residential Bills_Yr 3_avg'!C17-'Residential Bills_Yr 3_avg'!C18-'Residential Bills_Yr 3_avg'!C19-'Residential Bills_Yr 3_avg'!C20)," ")</f>
        <v xml:space="preserve"> </v>
      </c>
      <c r="D21" s="25" t="str">
        <f t="shared" si="0"/>
        <v xml:space="preserve"> </v>
      </c>
      <c r="F21" s="23">
        <f>INDEX(Input!$C$21:$AL$25,MATCH('Residential Bills_Yr 3_avg'!$A21,Input!$A$21:$A$25,0),MATCH('Residential Bills_Yr 3_avg'!F$13,Input!$C$20:$AL$20,0))</f>
        <v>0</v>
      </c>
      <c r="G21" s="24" t="str">
        <f>IF(Input!G99="Tier 5",('Residential Bills_Yr 3_avg'!$B$7-'Residential Bills_Yr 3_avg'!G17-'Residential Bills_Yr 3_avg'!G18-'Residential Bills_Yr 3_avg'!G19-'Residential Bills_Yr 3_avg'!G20)," ")</f>
        <v xml:space="preserve"> </v>
      </c>
      <c r="H21" s="25" t="str">
        <f t="shared" si="1"/>
        <v xml:space="preserve"> </v>
      </c>
      <c r="J21" s="23">
        <f>INDEX(Input!$C$21:$AL$25,MATCH('Residential Bills_Yr 3_avg'!$A21,Input!$A$21:$A$25,0),MATCH('Residential Bills_Yr 3_avg'!J$13,Input!$C$20:$AL$20,0))</f>
        <v>0</v>
      </c>
      <c r="K21" s="24" t="str">
        <f>IF(Input!H99="Tier 5",('Residential Bills_Yr 3_avg'!$B$7-'Residential Bills_Yr 3_avg'!K$17-'Residential Bills_Yr 3_avg'!K$18-'Residential Bills_Yr 3_avg'!K$19-'Residential Bills_Yr 3_avg'!K$20)," ")</f>
        <v xml:space="preserve"> </v>
      </c>
      <c r="L21" s="25" t="str">
        <f t="shared" si="2"/>
        <v xml:space="preserve"> </v>
      </c>
      <c r="N21" s="23">
        <f>INDEX(Input!$C$21:$AL$25,MATCH('Residential Bills_Yr 3_avg'!$A21,Input!$A$21:$A$25,0),MATCH('Residential Bills_Yr 3_avg'!N$13,Input!$C$20:$AL$20,0))</f>
        <v>0</v>
      </c>
      <c r="O21" s="24" t="str">
        <f>IF(Input!I99="Tier 5",('Residential Bills_Yr 3_avg'!$B$7-'Residential Bills_Yr 3_avg'!O$17-'Residential Bills_Yr 3_avg'!O$18-'Residential Bills_Yr 3_avg'!O$19-'Residential Bills_Yr 3_avg'!O$20)," ")</f>
        <v xml:space="preserve"> </v>
      </c>
      <c r="P21" s="25" t="str">
        <f t="shared" si="3"/>
        <v xml:space="preserve"> </v>
      </c>
      <c r="R21" s="23">
        <f>INDEX(Input!$C$21:$AL$25,MATCH('Residential Bills_Yr 3_avg'!$A21,Input!$A$21:$A$25,0),MATCH('Residential Bills_Yr 3_avg'!R$13,Input!$C$20:$AL$20,0))</f>
        <v>0</v>
      </c>
      <c r="S21" s="24" t="str">
        <f>IF(Input!J99="Tier 5",('Residential Bills_Yr 3_avg'!$B$7-'Residential Bills_Yr 3_avg'!S$17-'Residential Bills_Yr 3_avg'!S$18-'Residential Bills_Yr 3_avg'!S$19-'Residential Bills_Yr 3_avg'!S$20)," ")</f>
        <v xml:space="preserve"> </v>
      </c>
      <c r="T21" s="25" t="str">
        <f t="shared" si="4"/>
        <v xml:space="preserve"> </v>
      </c>
      <c r="V21" s="23">
        <f>INDEX(Input!$C$21:$AL$25,MATCH('Residential Bills_Yr 3_avg'!$A21,Input!$A$21:$A$25,0),MATCH('Residential Bills_Yr 3_avg'!V$13,Input!$C$20:$AL$20,0))</f>
        <v>0</v>
      </c>
      <c r="W21" s="24" t="str">
        <f>IF(Input!K99="Tier 5",('Residential Bills_Yr 3_avg'!$B$7-'Residential Bills_Yr 3_avg'!W$17-'Residential Bills_Yr 3_avg'!W$18-'Residential Bills_Yr 3_avg'!W$19-'Residential Bills_Yr 3_avg'!W$20)," ")</f>
        <v xml:space="preserve"> </v>
      </c>
      <c r="X21" s="25" t="str">
        <f t="shared" si="5"/>
        <v xml:space="preserve"> </v>
      </c>
      <c r="Z21" s="23">
        <f>INDEX(Input!$C$21:$AL$25,MATCH('Residential Bills_Yr 3_avg'!$A21,Input!$A$21:$A$25,0),MATCH('Residential Bills_Yr 3_avg'!Z$13,Input!$C$20:$AL$20,0))</f>
        <v>0</v>
      </c>
      <c r="AA21" s="24" t="str">
        <f>IF(Input!L99="Tier 5",('Residential Bills_Yr 3_avg'!$B$7-'Residential Bills_Yr 3_avg'!AA$17-'Residential Bills_Yr 3_avg'!AA$18-'Residential Bills_Yr 3_avg'!AA$19-'Residential Bills_Yr 3_avg'!AA$20)," ")</f>
        <v xml:space="preserve"> </v>
      </c>
      <c r="AB21" s="25" t="str">
        <f t="shared" si="6"/>
        <v xml:space="preserve"> </v>
      </c>
      <c r="AD21" s="23">
        <f>INDEX(Input!$C$21:$AL$25,MATCH('Residential Bills_Yr 3_avg'!$A21,Input!$A$21:$A$25,0),MATCH('Residential Bills_Yr 3_avg'!AD$13,Input!$C$20:$AL$20,0))</f>
        <v>0</v>
      </c>
      <c r="AE21" s="24" t="str">
        <f>IF(Input!M99="Tier 5",('Residential Bills_Yr 3_avg'!$B$7-'Residential Bills_Yr 3_avg'!AE$17-'Residential Bills_Yr 3_avg'!AE$18-'Residential Bills_Yr 3_avg'!AE$19-'Residential Bills_Yr 3_avg'!AE$20)," ")</f>
        <v xml:space="preserve"> </v>
      </c>
      <c r="AF21" s="25" t="str">
        <f t="shared" si="7"/>
        <v xml:space="preserve"> </v>
      </c>
      <c r="AH21" s="23">
        <f>INDEX(Input!$C$21:$AL$25,MATCH('Residential Bills_Yr 3_avg'!$A21,Input!$A$21:$A$25,0),MATCH('Residential Bills_Yr 3_avg'!AH$13,Input!$C$20:$AL$20,0))</f>
        <v>0</v>
      </c>
      <c r="AI21" s="24" t="str">
        <f>IF(Input!N99="Tier 5",('Residential Bills_Yr 3_avg'!$B$7-'Residential Bills_Yr 3_avg'!AI$17-'Residential Bills_Yr 3_avg'!AI$18-'Residential Bills_Yr 3_avg'!AI$19-'Residential Bills_Yr 3_avg'!AI$20)," ")</f>
        <v xml:space="preserve"> </v>
      </c>
      <c r="AJ21" s="25" t="str">
        <f t="shared" si="8"/>
        <v xml:space="preserve"> </v>
      </c>
      <c r="AL21" s="23">
        <f>INDEX(Input!$C$21:$AL$25,MATCH('Residential Bills_Yr 3_avg'!$A21,Input!$A$21:$A$25,0),MATCH('Residential Bills_Yr 3_avg'!AL$13,Input!$C$20:$AL$20,0))</f>
        <v>0</v>
      </c>
      <c r="AM21" s="24" t="str">
        <f>IF(Input!O99="Tier 5",('Residential Bills_Yr 3_avg'!$B$7-'Residential Bills_Yr 3_avg'!AM$17-'Residential Bills_Yr 3_avg'!AM$18-'Residential Bills_Yr 3_avg'!AM$19-'Residential Bills_Yr 3_avg'!AM$20)," ")</f>
        <v xml:space="preserve"> </v>
      </c>
      <c r="AN21" s="25" t="str">
        <f t="shared" si="9"/>
        <v xml:space="preserve"> </v>
      </c>
      <c r="AP21" s="23">
        <f>INDEX(Input!$C$21:$AL$25,MATCH('Residential Bills_Yr 3_avg'!$A21,Input!$A$21:$A$25,0),MATCH('Residential Bills_Yr 3_avg'!AP$13,Input!$C$20:$AL$20,0))</f>
        <v>0</v>
      </c>
      <c r="AQ21" s="24" t="str">
        <f>IF(Input!P99="Tier 5",('Residential Bills_Yr 3_avg'!$B$7-'Residential Bills_Yr 3_avg'!AQ$17-'Residential Bills_Yr 3_avg'!AQ$18-'Residential Bills_Yr 3_avg'!AQ$19-'Residential Bills_Yr 3_avg'!AQ$20)," ")</f>
        <v xml:space="preserve"> </v>
      </c>
      <c r="AR21" s="25" t="str">
        <f t="shared" si="10"/>
        <v xml:space="preserve"> </v>
      </c>
      <c r="AS21" s="30"/>
      <c r="AT21" s="23">
        <f>INDEX(Input!$C$21:$AL$25,MATCH('Residential Bills_Yr 3_avg'!$A21,Input!$A$21:$A$25,0),MATCH('Residential Bills_Yr 3_avg'!AT$13,Input!$C$20:$AL$20,0))</f>
        <v>0</v>
      </c>
      <c r="AU21" s="24" t="str">
        <f>IF(Input!Q99="Tier 5",('Residential Bills_Yr 3_avg'!$B$7-'Residential Bills_Yr 3_avg'!AU$17-'Residential Bills_Yr 3_avg'!AU$18-'Residential Bills_Yr 3_avg'!AU$19-'Residential Bills_Yr 3_avg'!AU$20)," ")</f>
        <v xml:space="preserve"> </v>
      </c>
      <c r="AV21" s="25" t="str">
        <f t="shared" si="11"/>
        <v xml:space="preserve"> </v>
      </c>
    </row>
    <row r="22" spans="1:48" x14ac:dyDescent="0.55000000000000004">
      <c r="A22" t="s">
        <v>39</v>
      </c>
      <c r="B22" s="16"/>
      <c r="C22" s="24">
        <f>SUM(C17:C21)</f>
        <v>11</v>
      </c>
      <c r="D22" s="26">
        <f>SUM(D17:D21)+D14</f>
        <v>111.14477235659757</v>
      </c>
      <c r="F22" s="16"/>
      <c r="G22" s="24">
        <f>SUM(G17:G21)</f>
        <v>11</v>
      </c>
      <c r="H22" s="26">
        <f>SUM(H17:H21)+H14</f>
        <v>111.14477235659757</v>
      </c>
      <c r="J22" s="16"/>
      <c r="K22" s="24">
        <f>SUM(K17:K21)</f>
        <v>11</v>
      </c>
      <c r="L22" s="26">
        <f>SUM(L17:L21)+L14</f>
        <v>111.14477235659757</v>
      </c>
      <c r="N22" s="16"/>
      <c r="O22" s="24">
        <f>SUM(O17:O21)</f>
        <v>11</v>
      </c>
      <c r="P22" s="26">
        <f>SUM(P17:P21)+P14</f>
        <v>111.14477235659757</v>
      </c>
      <c r="R22" s="16"/>
      <c r="S22" s="24">
        <f>SUM(S17:S21)</f>
        <v>11</v>
      </c>
      <c r="T22" s="26">
        <f>SUM(T17:T21)+T14</f>
        <v>111.14477235659757</v>
      </c>
      <c r="V22" s="16"/>
      <c r="W22" s="24">
        <f>SUM(W17:W21)</f>
        <v>11</v>
      </c>
      <c r="X22" s="26">
        <f>SUM(X17:X21)+X14</f>
        <v>111.14477235659757</v>
      </c>
      <c r="Z22" s="16"/>
      <c r="AA22" s="24">
        <f>SUM(AA17:AA21)</f>
        <v>11</v>
      </c>
      <c r="AB22" s="26">
        <f>SUM(AB17:AB21)+AB14</f>
        <v>111.14477235659757</v>
      </c>
      <c r="AD22" s="16"/>
      <c r="AE22" s="24">
        <f>SUM(AE17:AE21)</f>
        <v>11</v>
      </c>
      <c r="AF22" s="26">
        <f>SUM(AF17:AF21)+AF14</f>
        <v>111.14477235659757</v>
      </c>
      <c r="AH22" s="16"/>
      <c r="AI22" s="24">
        <f>SUM(AI17:AI21)</f>
        <v>11</v>
      </c>
      <c r="AJ22" s="26">
        <f>SUM(AJ17:AJ21)+AJ14</f>
        <v>111.14477235659757</v>
      </c>
      <c r="AL22" s="16"/>
      <c r="AM22" s="24">
        <f>SUM(AM17:AM21)</f>
        <v>11</v>
      </c>
      <c r="AN22" s="26">
        <f>SUM(AN17:AN21)+AN14</f>
        <v>111.14477235659757</v>
      </c>
      <c r="AP22" s="16"/>
      <c r="AQ22" s="24">
        <f>SUM(AQ17:AQ21)</f>
        <v>11</v>
      </c>
      <c r="AR22" s="26">
        <f>SUM(AR17:AR21)+AR14</f>
        <v>111.14477235659757</v>
      </c>
      <c r="AS22" s="64"/>
      <c r="AT22" s="16"/>
      <c r="AU22" s="24">
        <f>SUM(AU17:AU21)</f>
        <v>11</v>
      </c>
      <c r="AV22" s="26">
        <f>SUM(AV17:AV21)+AV14</f>
        <v>111.14477235659757</v>
      </c>
    </row>
    <row r="23" spans="1:48" x14ac:dyDescent="0.55000000000000004">
      <c r="B23" s="16"/>
      <c r="C23" s="17"/>
      <c r="D23" s="19"/>
      <c r="F23" s="16"/>
      <c r="G23" s="17"/>
      <c r="H23" s="19"/>
      <c r="J23" s="16"/>
      <c r="K23" s="17"/>
      <c r="L23" s="19"/>
      <c r="N23" s="16"/>
      <c r="O23" s="17"/>
      <c r="P23" s="19"/>
      <c r="R23" s="16"/>
      <c r="S23" s="17"/>
      <c r="T23" s="19"/>
      <c r="V23" s="16"/>
      <c r="W23" s="17"/>
      <c r="X23" s="19"/>
      <c r="Z23" s="16"/>
      <c r="AA23" s="17"/>
      <c r="AB23" s="19"/>
      <c r="AD23" s="16"/>
      <c r="AE23" s="17"/>
      <c r="AF23" s="19"/>
      <c r="AH23" s="16"/>
      <c r="AI23" s="17"/>
      <c r="AJ23" s="19"/>
      <c r="AL23" s="16"/>
      <c r="AM23" s="17"/>
      <c r="AN23" s="19"/>
      <c r="AP23" s="16"/>
      <c r="AQ23" s="17"/>
      <c r="AR23" s="19"/>
      <c r="AS23" s="17"/>
      <c r="AT23" s="16"/>
      <c r="AU23" s="17"/>
      <c r="AV23" s="19"/>
    </row>
    <row r="24" spans="1:48" x14ac:dyDescent="0.55000000000000004">
      <c r="A24" s="1" t="s">
        <v>34</v>
      </c>
      <c r="B24" s="20" t="s">
        <v>29</v>
      </c>
      <c r="C24" s="21" t="s">
        <v>44</v>
      </c>
      <c r="D24" s="22" t="s">
        <v>30</v>
      </c>
      <c r="F24" s="20" t="s">
        <v>29</v>
      </c>
      <c r="G24" s="21" t="s">
        <v>44</v>
      </c>
      <c r="H24" s="111" t="s">
        <v>30</v>
      </c>
      <c r="J24" s="20" t="s">
        <v>29</v>
      </c>
      <c r="K24" s="21" t="s">
        <v>44</v>
      </c>
      <c r="L24" s="111" t="s">
        <v>30</v>
      </c>
      <c r="N24" s="20" t="s">
        <v>29</v>
      </c>
      <c r="O24" s="21" t="s">
        <v>44</v>
      </c>
      <c r="P24" s="111" t="s">
        <v>30</v>
      </c>
      <c r="R24" s="20" t="s">
        <v>29</v>
      </c>
      <c r="S24" s="21" t="s">
        <v>44</v>
      </c>
      <c r="T24" s="111" t="s">
        <v>30</v>
      </c>
      <c r="V24" s="20" t="s">
        <v>29</v>
      </c>
      <c r="W24" s="21" t="s">
        <v>44</v>
      </c>
      <c r="X24" s="111" t="s">
        <v>30</v>
      </c>
      <c r="Z24" s="20" t="s">
        <v>29</v>
      </c>
      <c r="AA24" s="21" t="s">
        <v>44</v>
      </c>
      <c r="AB24" s="111" t="s">
        <v>30</v>
      </c>
      <c r="AD24" s="20" t="s">
        <v>29</v>
      </c>
      <c r="AE24" s="21" t="s">
        <v>44</v>
      </c>
      <c r="AF24" s="111" t="s">
        <v>30</v>
      </c>
      <c r="AH24" s="20" t="s">
        <v>29</v>
      </c>
      <c r="AI24" s="21" t="s">
        <v>44</v>
      </c>
      <c r="AJ24" s="111" t="s">
        <v>30</v>
      </c>
      <c r="AL24" s="20" t="s">
        <v>29</v>
      </c>
      <c r="AM24" s="21" t="s">
        <v>44</v>
      </c>
      <c r="AN24" s="111" t="s">
        <v>30</v>
      </c>
      <c r="AP24" s="20" t="s">
        <v>29</v>
      </c>
      <c r="AQ24" s="21" t="s">
        <v>44</v>
      </c>
      <c r="AR24" s="111" t="s">
        <v>30</v>
      </c>
      <c r="AS24" s="170"/>
      <c r="AT24" s="20" t="s">
        <v>29</v>
      </c>
      <c r="AU24" s="21" t="s">
        <v>44</v>
      </c>
      <c r="AV24" s="111" t="s">
        <v>30</v>
      </c>
    </row>
    <row r="25" spans="1:48" x14ac:dyDescent="0.55000000000000004">
      <c r="A25" t="str">
        <f>IF($B$9="No",Input!A46,"CAP Discount")</f>
        <v>SRF 1</v>
      </c>
      <c r="B25" s="173">
        <f>INDEX(Input!$C$46:$AM$58,MATCH($A25,Input!$A$46:$A$58,0),MATCH(B$13,Input!$C$45:$AM$45,0))</f>
        <v>0.04</v>
      </c>
      <c r="C25" s="31" t="str">
        <f>IF(VLOOKUP($A25,Input!$A$46:$B$58,2,FALSE)="Percentage",D$22,IF(VLOOKUP($A25,Input!$A$46:$B$58,2,FALSE)="Fixed","Fixed",(C$22)))</f>
        <v>Fixed</v>
      </c>
      <c r="D25" s="25">
        <f t="shared" ref="D25:D37" si="12">ROUND(IF(C25="Fixed",B25,(B25*C25)),2)</f>
        <v>0.04</v>
      </c>
      <c r="F25" s="173">
        <f>INDEX(Input!$C$46:$AM$58,MATCH($A25,Input!$A$46:$A$58,0),MATCH(F$13,Input!$C$45:$AM$45,0))</f>
        <v>0.04</v>
      </c>
      <c r="G25" s="31" t="str">
        <f>IF(VLOOKUP($A25,Input!$A$46:$B$58,2,FALSE)="Percentage",H$22,IF(VLOOKUP($A25,Input!$A$46:$B$58,2,FALSE)="Fixed","Fixed",(G$22)))</f>
        <v>Fixed</v>
      </c>
      <c r="H25" s="25">
        <f t="shared" ref="H25:H37" si="13">ROUND(IF(G25="Fixed",F25,(F25*G25)),2)</f>
        <v>0.04</v>
      </c>
      <c r="J25" s="173">
        <f>INDEX(Input!$C$46:$AM$58,MATCH($A25,Input!$A$46:$A$58,0),MATCH(J$13,Input!$C$45:$AM$45,0))</f>
        <v>0.04</v>
      </c>
      <c r="K25" s="31" t="str">
        <f>IF(VLOOKUP($A25,Input!$A$46:$B$58,2,FALSE)="Percentage",L$22,IF(VLOOKUP($A25,Input!$A$46:$B$58,2,FALSE)="Fixed","Fixed",(K$22)))</f>
        <v>Fixed</v>
      </c>
      <c r="L25" s="25">
        <f t="shared" ref="L25:L37" si="14">ROUND(IF(K25="Fixed",J25,(J25*K25)),2)</f>
        <v>0.04</v>
      </c>
      <c r="N25" s="173">
        <f>INDEX(Input!$C$46:$AM$58,MATCH($A25,Input!$A$46:$A$58,0),MATCH(N$13,Input!$C$45:$AM$45,0))</f>
        <v>0.04</v>
      </c>
      <c r="O25" s="31" t="str">
        <f>IF(VLOOKUP($A25,Input!$A$46:$B$58,2,FALSE)="Percentage",P$22,IF(VLOOKUP($A25,Input!$A$46:$B$58,2,FALSE)="Fixed","Fixed",(O$22)))</f>
        <v>Fixed</v>
      </c>
      <c r="P25" s="25">
        <f t="shared" ref="P25:P37" si="15">ROUND(IF(O25="Fixed",N25,(N25*O25)),2)</f>
        <v>0.04</v>
      </c>
      <c r="R25" s="173">
        <f>INDEX(Input!$C$46:$AM$58,MATCH($A25,Input!$A$46:$A$58,0),MATCH(R$13,Input!$C$45:$AM$45,0))</f>
        <v>0.04</v>
      </c>
      <c r="S25" s="31" t="str">
        <f>IF(VLOOKUP($A25,Input!$A$46:$B$58,2,FALSE)="Percentage",T$22,IF(VLOOKUP($A25,Input!$A$46:$B$58,2,FALSE)="Fixed","Fixed",(S$22)))</f>
        <v>Fixed</v>
      </c>
      <c r="T25" s="25">
        <f t="shared" ref="T25:T37" si="16">ROUND(IF(S25="Fixed",R25,(R25*S25)),2)</f>
        <v>0.04</v>
      </c>
      <c r="V25" s="173">
        <f>INDEX(Input!$C$46:$AM$58,MATCH($A25,Input!$A$46:$A$58,0),MATCH(V$13,Input!$C$45:$AM$45,0))</f>
        <v>0.04</v>
      </c>
      <c r="W25" s="31" t="str">
        <f>IF(VLOOKUP($A25,Input!$A$46:$B$58,2,FALSE)="Percentage",X$22,IF(VLOOKUP($A25,Input!$A$46:$B$58,2,FALSE)="Fixed","Fixed",(W$22)))</f>
        <v>Fixed</v>
      </c>
      <c r="X25" s="25">
        <f t="shared" ref="X25:X37" si="17">ROUND(IF(W25="Fixed",V25,(V25*W25)),2)</f>
        <v>0.04</v>
      </c>
      <c r="Z25" s="173">
        <f>INDEX(Input!$C$46:$AM$58,MATCH($A25,Input!$A$46:$A$58,0),MATCH(Z$13,Input!$C$45:$AM$45,0))</f>
        <v>0.04</v>
      </c>
      <c r="AA25" s="31" t="str">
        <f>IF(VLOOKUP($A25,Input!$A$46:$B$58,2,FALSE)="Percentage",AB$22,IF(VLOOKUP($A25,Input!$A$46:$B$58,2,FALSE)="Fixed","Fixed",(AA$22)))</f>
        <v>Fixed</v>
      </c>
      <c r="AB25" s="25">
        <f t="shared" ref="AB25:AB37" si="18">ROUND(IF(AA25="Fixed",Z25,(Z25*AA25)),2)</f>
        <v>0.04</v>
      </c>
      <c r="AD25" s="173">
        <f>INDEX(Input!$C$46:$AM$58,MATCH($A25,Input!$A$46:$A$58,0),MATCH(AD$13,Input!$C$45:$AM$45,0))</f>
        <v>0.04</v>
      </c>
      <c r="AE25" s="31" t="str">
        <f>IF(VLOOKUP($A25,Input!$A$46:$B$58,2,FALSE)="Percentage",AF$22,IF(VLOOKUP($A25,Input!$A$46:$B$58,2,FALSE)="Fixed","Fixed",(AE$22)))</f>
        <v>Fixed</v>
      </c>
      <c r="AF25" s="25">
        <f t="shared" ref="AF25:AF37" si="19">ROUND(IF(AE25="Fixed",AD25,(AD25*AE25)),2)</f>
        <v>0.04</v>
      </c>
      <c r="AH25" s="173">
        <f>INDEX(Input!$C$46:$AM$58,MATCH($A25,Input!$A$46:$A$58,0),MATCH(AH$13,Input!$C$45:$AM$45,0))</f>
        <v>0.04</v>
      </c>
      <c r="AI25" s="31" t="str">
        <f>IF(VLOOKUP($A25,Input!$A$46:$B$58,2,FALSE)="Percentage",AJ$22,IF(VLOOKUP($A25,Input!$A$46:$B$58,2,FALSE)="Fixed","Fixed",(AI$22)))</f>
        <v>Fixed</v>
      </c>
      <c r="AJ25" s="25">
        <f t="shared" ref="AJ25:AJ37" si="20">ROUND(IF(AI25="Fixed",AH25,(AH25*AI25)),2)</f>
        <v>0.04</v>
      </c>
      <c r="AL25" s="173">
        <f>INDEX(Input!$C$46:$AM$58,MATCH($A25,Input!$A$46:$A$58,0),MATCH(AL$13,Input!$C$45:$AM$45,0))</f>
        <v>0.04</v>
      </c>
      <c r="AM25" s="31" t="str">
        <f>IF(VLOOKUP($A25,Input!$A$46:$B$58,2,FALSE)="Percentage",AN$22,IF(VLOOKUP($A25,Input!$A$46:$B$58,2,FALSE)="Fixed","Fixed",(AM$22)))</f>
        <v>Fixed</v>
      </c>
      <c r="AN25" s="25">
        <f t="shared" ref="AN25:AN37" si="21">ROUND(IF(AM25="Fixed",AL25,(AL25*AM25)),2)</f>
        <v>0.04</v>
      </c>
      <c r="AP25" s="173">
        <f>INDEX(Input!$C$46:$AM$58,MATCH($A25,Input!$A$46:$A$58,0),MATCH(AP$13,Input!$C$45:$AM$45,0))</f>
        <v>0.04</v>
      </c>
      <c r="AQ25" s="31" t="str">
        <f>IF(VLOOKUP($A25,Input!$A$46:$B$58,2,FALSE)="Percentage",AR$22,IF(VLOOKUP($A25,Input!$A$46:$B$58,2,FALSE)="Fixed","Fixed",(AQ$22)))</f>
        <v>Fixed</v>
      </c>
      <c r="AR25" s="25">
        <f t="shared" ref="AR25:AR37" si="22">ROUND(IF(AQ25="Fixed",AP25,(AP25*AQ25)),2)</f>
        <v>0.04</v>
      </c>
      <c r="AS25" s="30"/>
      <c r="AT25" s="173">
        <f>INDEX(Input!$C$46:$AM$58,MATCH($A25,Input!$A$46:$A$58,0),MATCH(AT$13,Input!$C$45:$AM$45,0))</f>
        <v>0.04</v>
      </c>
      <c r="AU25" s="31" t="str">
        <f>IF(VLOOKUP($A25,Input!$A$46:$B$58,2,FALSE)="Percentage",AV$22,IF(VLOOKUP($A25,Input!$A$46:$B$58,2,FALSE)="Fixed","Fixed",(AU$22)))</f>
        <v>Fixed</v>
      </c>
      <c r="AV25" s="25">
        <f t="shared" ref="AV25:AV37" si="23">ROUND(IF(AU25="Fixed",AT25,(AT25*AU25)),2)</f>
        <v>0.04</v>
      </c>
    </row>
    <row r="26" spans="1:48" x14ac:dyDescent="0.55000000000000004">
      <c r="A26" t="str">
        <f>Input!A47</f>
        <v>SRF 2</v>
      </c>
      <c r="B26" s="173">
        <f>INDEX(Input!$C$46:$AM$58,MATCH($A26,Input!$A$46:$A$58,0),MATCH(B$13,Input!$C$45:$AM$45,0))</f>
        <v>0.02</v>
      </c>
      <c r="C26" s="31" t="str">
        <f>IF(VLOOKUP($A26,Input!$A$46:$B$58,2,FALSE)="Percentage",D$22,IF(VLOOKUP($A26,Input!$A$46:$B$58,2,FALSE)="Fixed","Fixed",(C$22)))</f>
        <v>Fixed</v>
      </c>
      <c r="D26" s="25">
        <f t="shared" si="12"/>
        <v>0.02</v>
      </c>
      <c r="F26" s="173">
        <f>INDEX(Input!$C$46:$AM$58,MATCH($A26,Input!$A$46:$A$58,0),MATCH(F$13,Input!$C$45:$AM$45,0))</f>
        <v>0.02</v>
      </c>
      <c r="G26" s="31" t="str">
        <f>IF(VLOOKUP($A26,Input!$A$46:$B$58,2,FALSE)="Percentage",H$22,IF(VLOOKUP($A26,Input!$A$46:$B$58,2,FALSE)="Fixed","Fixed",(G$22)))</f>
        <v>Fixed</v>
      </c>
      <c r="H26" s="25">
        <f t="shared" si="13"/>
        <v>0.02</v>
      </c>
      <c r="J26" s="173">
        <f>INDEX(Input!$C$46:$AM$58,MATCH($A26,Input!$A$46:$A$58,0),MATCH(J$13,Input!$C$45:$AM$45,0))</f>
        <v>0.02</v>
      </c>
      <c r="K26" s="31" t="str">
        <f>IF(VLOOKUP($A26,Input!$A$46:$B$58,2,FALSE)="Percentage",L$22,IF(VLOOKUP($A26,Input!$A$46:$B$58,2,FALSE)="Fixed","Fixed",(K$22)))</f>
        <v>Fixed</v>
      </c>
      <c r="L26" s="25">
        <f t="shared" si="14"/>
        <v>0.02</v>
      </c>
      <c r="N26" s="173">
        <f>INDEX(Input!$C$46:$AM$58,MATCH($A26,Input!$A$46:$A$58,0),MATCH(N$13,Input!$C$45:$AM$45,0))</f>
        <v>0.02</v>
      </c>
      <c r="O26" s="31" t="str">
        <f>IF(VLOOKUP($A26,Input!$A$46:$B$58,2,FALSE)="Percentage",P$22,IF(VLOOKUP($A26,Input!$A$46:$B$58,2,FALSE)="Fixed","Fixed",(O$22)))</f>
        <v>Fixed</v>
      </c>
      <c r="P26" s="25">
        <f t="shared" si="15"/>
        <v>0.02</v>
      </c>
      <c r="R26" s="173">
        <f>INDEX(Input!$C$46:$AM$58,MATCH($A26,Input!$A$46:$A$58,0),MATCH(R$13,Input!$C$45:$AM$45,0))</f>
        <v>0.02</v>
      </c>
      <c r="S26" s="31" t="str">
        <f>IF(VLOOKUP($A26,Input!$A$46:$B$58,2,FALSE)="Percentage",T$22,IF(VLOOKUP($A26,Input!$A$46:$B$58,2,FALSE)="Fixed","Fixed",(S$22)))</f>
        <v>Fixed</v>
      </c>
      <c r="T26" s="25">
        <f t="shared" si="16"/>
        <v>0.02</v>
      </c>
      <c r="V26" s="173">
        <f>INDEX(Input!$C$46:$AM$58,MATCH($A26,Input!$A$46:$A$58,0),MATCH(V$13,Input!$C$45:$AM$45,0))</f>
        <v>0.02</v>
      </c>
      <c r="W26" s="31" t="str">
        <f>IF(VLOOKUP($A26,Input!$A$46:$B$58,2,FALSE)="Percentage",X$22,IF(VLOOKUP($A26,Input!$A$46:$B$58,2,FALSE)="Fixed","Fixed",(W$22)))</f>
        <v>Fixed</v>
      </c>
      <c r="X26" s="25">
        <f t="shared" si="17"/>
        <v>0.02</v>
      </c>
      <c r="Z26" s="173">
        <f>INDEX(Input!$C$46:$AM$58,MATCH($A26,Input!$A$46:$A$58,0),MATCH(Z$13,Input!$C$45:$AM$45,0))</f>
        <v>0.02</v>
      </c>
      <c r="AA26" s="31" t="str">
        <f>IF(VLOOKUP($A26,Input!$A$46:$B$58,2,FALSE)="Percentage",AB$22,IF(VLOOKUP($A26,Input!$A$46:$B$58,2,FALSE)="Fixed","Fixed",(AA$22)))</f>
        <v>Fixed</v>
      </c>
      <c r="AB26" s="25">
        <f t="shared" si="18"/>
        <v>0.02</v>
      </c>
      <c r="AD26" s="173">
        <f>INDEX(Input!$C$46:$AM$58,MATCH($A26,Input!$A$46:$A$58,0),MATCH(AD$13,Input!$C$45:$AM$45,0))</f>
        <v>0.02</v>
      </c>
      <c r="AE26" s="31" t="str">
        <f>IF(VLOOKUP($A26,Input!$A$46:$B$58,2,FALSE)="Percentage",AF$22,IF(VLOOKUP($A26,Input!$A$46:$B$58,2,FALSE)="Fixed","Fixed",(AE$22)))</f>
        <v>Fixed</v>
      </c>
      <c r="AF26" s="25">
        <f t="shared" si="19"/>
        <v>0.02</v>
      </c>
      <c r="AH26" s="173">
        <f>INDEX(Input!$C$46:$AM$58,MATCH($A26,Input!$A$46:$A$58,0),MATCH(AH$13,Input!$C$45:$AM$45,0))</f>
        <v>0.02</v>
      </c>
      <c r="AI26" s="31" t="str">
        <f>IF(VLOOKUP($A26,Input!$A$46:$B$58,2,FALSE)="Percentage",AJ$22,IF(VLOOKUP($A26,Input!$A$46:$B$58,2,FALSE)="Fixed","Fixed",(AI$22)))</f>
        <v>Fixed</v>
      </c>
      <c r="AJ26" s="25">
        <f t="shared" si="20"/>
        <v>0.02</v>
      </c>
      <c r="AL26" s="173">
        <f>INDEX(Input!$C$46:$AM$58,MATCH($A26,Input!$A$46:$A$58,0),MATCH(AL$13,Input!$C$45:$AM$45,0))</f>
        <v>0.02</v>
      </c>
      <c r="AM26" s="31" t="str">
        <f>IF(VLOOKUP($A26,Input!$A$46:$B$58,2,FALSE)="Percentage",AN$22,IF(VLOOKUP($A26,Input!$A$46:$B$58,2,FALSE)="Fixed","Fixed",(AM$22)))</f>
        <v>Fixed</v>
      </c>
      <c r="AN26" s="25">
        <f t="shared" si="21"/>
        <v>0.02</v>
      </c>
      <c r="AP26" s="173">
        <f>INDEX(Input!$C$46:$AM$58,MATCH($A26,Input!$A$46:$A$58,0),MATCH(AP$13,Input!$C$45:$AM$45,0))</f>
        <v>0.02</v>
      </c>
      <c r="AQ26" s="31" t="str">
        <f>IF(VLOOKUP($A26,Input!$A$46:$B$58,2,FALSE)="Percentage",AR$22,IF(VLOOKUP($A26,Input!$A$46:$B$58,2,FALSE)="Fixed","Fixed",(AQ$22)))</f>
        <v>Fixed</v>
      </c>
      <c r="AR26" s="25">
        <f t="shared" si="22"/>
        <v>0.02</v>
      </c>
      <c r="AS26" s="30"/>
      <c r="AT26" s="173">
        <f>INDEX(Input!$C$46:$AM$58,MATCH($A26,Input!$A$46:$A$58,0),MATCH(AT$13,Input!$C$45:$AM$45,0))</f>
        <v>0.02</v>
      </c>
      <c r="AU26" s="31" t="str">
        <f>IF(VLOOKUP($A26,Input!$A$46:$B$58,2,FALSE)="Percentage",AV$22,IF(VLOOKUP($A26,Input!$A$46:$B$58,2,FALSE)="Fixed","Fixed",(AU$22)))</f>
        <v>Fixed</v>
      </c>
      <c r="AV26" s="25">
        <f t="shared" si="23"/>
        <v>0.02</v>
      </c>
    </row>
    <row r="27" spans="1:48" x14ac:dyDescent="0.55000000000000004">
      <c r="A27" t="str">
        <f>Input!A48</f>
        <v>WRAP</v>
      </c>
      <c r="B27" s="173">
        <f>INDEX(Input!$C$46:$AM$58,MATCH($A27,Input!$A$46:$A$58,0),MATCH(B$13,Input!$C$45:$AM$45,0))</f>
        <v>1.45</v>
      </c>
      <c r="C27" s="31" t="str">
        <f>IF(VLOOKUP($A27,Input!$A$46:$B$58,2,FALSE)="Percentage",D$22,IF(VLOOKUP($A27,Input!$A$46:$B$58,2,FALSE)="Fixed","Fixed",(C$22)))</f>
        <v>Fixed</v>
      </c>
      <c r="D27" s="25">
        <f t="shared" si="12"/>
        <v>1.45</v>
      </c>
      <c r="F27" s="173">
        <f>INDEX(Input!$C$46:$AM$58,MATCH($A27,Input!$A$46:$A$58,0),MATCH(F$13,Input!$C$45:$AM$45,0))</f>
        <v>1.45</v>
      </c>
      <c r="G27" s="31" t="str">
        <f>IF(VLOOKUP($A27,Input!$A$46:$B$58,2,FALSE)="Percentage",H$22,IF(VLOOKUP($A27,Input!$A$46:$B$58,2,FALSE)="Fixed","Fixed",(G$22)))</f>
        <v>Fixed</v>
      </c>
      <c r="H27" s="25">
        <f t="shared" si="13"/>
        <v>1.45</v>
      </c>
      <c r="J27" s="173">
        <f>INDEX(Input!$C$46:$AM$58,MATCH($A27,Input!$A$46:$A$58,0),MATCH(J$13,Input!$C$45:$AM$45,0))</f>
        <v>1.45</v>
      </c>
      <c r="K27" s="31" t="str">
        <f>IF(VLOOKUP($A27,Input!$A$46:$B$58,2,FALSE)="Percentage",L$22,IF(VLOOKUP($A27,Input!$A$46:$B$58,2,FALSE)="Fixed","Fixed",(K$22)))</f>
        <v>Fixed</v>
      </c>
      <c r="L27" s="25">
        <f t="shared" si="14"/>
        <v>1.45</v>
      </c>
      <c r="N27" s="173">
        <f>INDEX(Input!$C$46:$AM$58,MATCH($A27,Input!$A$46:$A$58,0),MATCH(N$13,Input!$C$45:$AM$45,0))</f>
        <v>1.45</v>
      </c>
      <c r="O27" s="31" t="str">
        <f>IF(VLOOKUP($A27,Input!$A$46:$B$58,2,FALSE)="Percentage",P$22,IF(VLOOKUP($A27,Input!$A$46:$B$58,2,FALSE)="Fixed","Fixed",(O$22)))</f>
        <v>Fixed</v>
      </c>
      <c r="P27" s="25">
        <f t="shared" si="15"/>
        <v>1.45</v>
      </c>
      <c r="R27" s="173">
        <f>INDEX(Input!$C$46:$AM$58,MATCH($A27,Input!$A$46:$A$58,0),MATCH(R$13,Input!$C$45:$AM$45,0))</f>
        <v>1.45</v>
      </c>
      <c r="S27" s="31" t="str">
        <f>IF(VLOOKUP($A27,Input!$A$46:$B$58,2,FALSE)="Percentage",T$22,IF(VLOOKUP($A27,Input!$A$46:$B$58,2,FALSE)="Fixed","Fixed",(S$22)))</f>
        <v>Fixed</v>
      </c>
      <c r="T27" s="25">
        <f t="shared" si="16"/>
        <v>1.45</v>
      </c>
      <c r="V27" s="173">
        <f>INDEX(Input!$C$46:$AM$58,MATCH($A27,Input!$A$46:$A$58,0),MATCH(V$13,Input!$C$45:$AM$45,0))</f>
        <v>1.45</v>
      </c>
      <c r="W27" s="31" t="str">
        <f>IF(VLOOKUP($A27,Input!$A$46:$B$58,2,FALSE)="Percentage",X$22,IF(VLOOKUP($A27,Input!$A$46:$B$58,2,FALSE)="Fixed","Fixed",(W$22)))</f>
        <v>Fixed</v>
      </c>
      <c r="X27" s="25">
        <f t="shared" si="17"/>
        <v>1.45</v>
      </c>
      <c r="Z27" s="173">
        <f>INDEX(Input!$C$46:$AM$58,MATCH($A27,Input!$A$46:$A$58,0),MATCH(Z$13,Input!$C$45:$AM$45,0))</f>
        <v>1.45</v>
      </c>
      <c r="AA27" s="31" t="str">
        <f>IF(VLOOKUP($A27,Input!$A$46:$B$58,2,FALSE)="Percentage",AB$22,IF(VLOOKUP($A27,Input!$A$46:$B$58,2,FALSE)="Fixed","Fixed",(AA$22)))</f>
        <v>Fixed</v>
      </c>
      <c r="AB27" s="25">
        <f t="shared" si="18"/>
        <v>1.45</v>
      </c>
      <c r="AD27" s="173">
        <f>INDEX(Input!$C$46:$AM$58,MATCH($A27,Input!$A$46:$A$58,0),MATCH(AD$13,Input!$C$45:$AM$45,0))</f>
        <v>1.45</v>
      </c>
      <c r="AE27" s="31" t="str">
        <f>IF(VLOOKUP($A27,Input!$A$46:$B$58,2,FALSE)="Percentage",AF$22,IF(VLOOKUP($A27,Input!$A$46:$B$58,2,FALSE)="Fixed","Fixed",(AE$22)))</f>
        <v>Fixed</v>
      </c>
      <c r="AF27" s="25">
        <f t="shared" si="19"/>
        <v>1.45</v>
      </c>
      <c r="AH27" s="173">
        <f>INDEX(Input!$C$46:$AM$58,MATCH($A27,Input!$A$46:$A$58,0),MATCH(AH$13,Input!$C$45:$AM$45,0))</f>
        <v>1.45</v>
      </c>
      <c r="AI27" s="31" t="str">
        <f>IF(VLOOKUP($A27,Input!$A$46:$B$58,2,FALSE)="Percentage",AJ$22,IF(VLOOKUP($A27,Input!$A$46:$B$58,2,FALSE)="Fixed","Fixed",(AI$22)))</f>
        <v>Fixed</v>
      </c>
      <c r="AJ27" s="25">
        <f t="shared" si="20"/>
        <v>1.45</v>
      </c>
      <c r="AL27" s="173">
        <f>INDEX(Input!$C$46:$AM$58,MATCH($A27,Input!$A$46:$A$58,0),MATCH(AL$13,Input!$C$45:$AM$45,0))</f>
        <v>1.45</v>
      </c>
      <c r="AM27" s="31" t="str">
        <f>IF(VLOOKUP($A27,Input!$A$46:$B$58,2,FALSE)="Percentage",AN$22,IF(VLOOKUP($A27,Input!$A$46:$B$58,2,FALSE)="Fixed","Fixed",(AM$22)))</f>
        <v>Fixed</v>
      </c>
      <c r="AN27" s="25">
        <f t="shared" si="21"/>
        <v>1.45</v>
      </c>
      <c r="AP27" s="173">
        <f>INDEX(Input!$C$46:$AM$58,MATCH($A27,Input!$A$46:$A$58,0),MATCH(AP$13,Input!$C$45:$AM$45,0))</f>
        <v>1.45</v>
      </c>
      <c r="AQ27" s="31" t="str">
        <f>IF(VLOOKUP($A27,Input!$A$46:$B$58,2,FALSE)="Percentage",AR$22,IF(VLOOKUP($A27,Input!$A$46:$B$58,2,FALSE)="Fixed","Fixed",(AQ$22)))</f>
        <v>Fixed</v>
      </c>
      <c r="AR27" s="25">
        <f t="shared" si="22"/>
        <v>1.45</v>
      </c>
      <c r="AS27" s="30"/>
      <c r="AT27" s="173">
        <f>INDEX(Input!$C$46:$AM$58,MATCH($A27,Input!$A$46:$A$58,0),MATCH(AT$13,Input!$C$45:$AM$45,0))</f>
        <v>1.45</v>
      </c>
      <c r="AU27" s="31" t="str">
        <f>IF(VLOOKUP($A27,Input!$A$46:$B$58,2,FALSE)="Percentage",AV$22,IF(VLOOKUP($A27,Input!$A$46:$B$58,2,FALSE)="Fixed","Fixed",(AU$22)))</f>
        <v>Fixed</v>
      </c>
      <c r="AV27" s="25">
        <f t="shared" si="23"/>
        <v>1.45</v>
      </c>
    </row>
    <row r="28" spans="1:48" x14ac:dyDescent="0.55000000000000004">
      <c r="A28" t="str">
        <f>Input!A49</f>
        <v>PRVMA</v>
      </c>
      <c r="B28" s="173">
        <f>INDEX(Input!$C$46:$AM$58,MATCH($A28,Input!$A$46:$A$58,0),MATCH(B$13,Input!$C$45:$AM$45,0))</f>
        <v>8.8400000000000006E-3</v>
      </c>
      <c r="C28" s="31">
        <f>IF(VLOOKUP($A28,Input!$A$46:$B$58,2,FALSE)="Percentage",D$22,IF(VLOOKUP($A28,Input!$A$46:$B$58,2,FALSE)="Fixed","Fixed",(C$22)))</f>
        <v>11</v>
      </c>
      <c r="D28" s="25">
        <f t="shared" si="12"/>
        <v>0.1</v>
      </c>
      <c r="F28" s="173">
        <f>INDEX(Input!$C$46:$AM$58,MATCH($A28,Input!$A$46:$A$58,0),MATCH(F$13,Input!$C$45:$AM$45,0))</f>
        <v>8.8400000000000006E-3</v>
      </c>
      <c r="G28" s="31">
        <f>IF(VLOOKUP($A28,Input!$A$46:$B$58,2,FALSE)="Percentage",H$22,IF(VLOOKUP($A28,Input!$A$46:$B$58,2,FALSE)="Fixed","Fixed",(G$22)))</f>
        <v>11</v>
      </c>
      <c r="H28" s="25">
        <f t="shared" si="13"/>
        <v>0.1</v>
      </c>
      <c r="J28" s="173">
        <f>INDEX(Input!$C$46:$AM$58,MATCH($A28,Input!$A$46:$A$58,0),MATCH(J$13,Input!$C$45:$AM$45,0))</f>
        <v>8.8400000000000006E-3</v>
      </c>
      <c r="K28" s="31">
        <f>IF(VLOOKUP($A28,Input!$A$46:$B$58,2,FALSE)="Percentage",L$22,IF(VLOOKUP($A28,Input!$A$46:$B$58,2,FALSE)="Fixed","Fixed",(K$22)))</f>
        <v>11</v>
      </c>
      <c r="L28" s="25">
        <f t="shared" si="14"/>
        <v>0.1</v>
      </c>
      <c r="N28" s="173">
        <f>INDEX(Input!$C$46:$AM$58,MATCH($A28,Input!$A$46:$A$58,0),MATCH(N$13,Input!$C$45:$AM$45,0))</f>
        <v>8.8400000000000006E-3</v>
      </c>
      <c r="O28" s="31">
        <f>IF(VLOOKUP($A28,Input!$A$46:$B$58,2,FALSE)="Percentage",P$22,IF(VLOOKUP($A28,Input!$A$46:$B$58,2,FALSE)="Fixed","Fixed",(O$22)))</f>
        <v>11</v>
      </c>
      <c r="P28" s="25">
        <f t="shared" si="15"/>
        <v>0.1</v>
      </c>
      <c r="R28" s="173">
        <f>INDEX(Input!$C$46:$AM$58,MATCH($A28,Input!$A$46:$A$58,0),MATCH(R$13,Input!$C$45:$AM$45,0))</f>
        <v>8.8400000000000006E-3</v>
      </c>
      <c r="S28" s="31">
        <f>IF(VLOOKUP($A28,Input!$A$46:$B$58,2,FALSE)="Percentage",T$22,IF(VLOOKUP($A28,Input!$A$46:$B$58,2,FALSE)="Fixed","Fixed",(S$22)))</f>
        <v>11</v>
      </c>
      <c r="T28" s="25">
        <f t="shared" si="16"/>
        <v>0.1</v>
      </c>
      <c r="V28" s="173">
        <f>INDEX(Input!$C$46:$AM$58,MATCH($A28,Input!$A$46:$A$58,0),MATCH(V$13,Input!$C$45:$AM$45,0))</f>
        <v>8.8400000000000006E-3</v>
      </c>
      <c r="W28" s="31">
        <f>IF(VLOOKUP($A28,Input!$A$46:$B$58,2,FALSE)="Percentage",X$22,IF(VLOOKUP($A28,Input!$A$46:$B$58,2,FALSE)="Fixed","Fixed",(W$22)))</f>
        <v>11</v>
      </c>
      <c r="X28" s="25">
        <f t="shared" si="17"/>
        <v>0.1</v>
      </c>
      <c r="Z28" s="173">
        <f>INDEX(Input!$C$46:$AM$58,MATCH($A28,Input!$A$46:$A$58,0),MATCH(Z$13,Input!$C$45:$AM$45,0))</f>
        <v>8.8400000000000006E-3</v>
      </c>
      <c r="AA28" s="31">
        <f>IF(VLOOKUP($A28,Input!$A$46:$B$58,2,FALSE)="Percentage",AB$22,IF(VLOOKUP($A28,Input!$A$46:$B$58,2,FALSE)="Fixed","Fixed",(AA$22)))</f>
        <v>11</v>
      </c>
      <c r="AB28" s="25">
        <f t="shared" si="18"/>
        <v>0.1</v>
      </c>
      <c r="AD28" s="173">
        <f>INDEX(Input!$C$46:$AM$58,MATCH($A28,Input!$A$46:$A$58,0),MATCH(AD$13,Input!$C$45:$AM$45,0))</f>
        <v>8.8400000000000006E-3</v>
      </c>
      <c r="AE28" s="31">
        <f>IF(VLOOKUP($A28,Input!$A$46:$B$58,2,FALSE)="Percentage",AF$22,IF(VLOOKUP($A28,Input!$A$46:$B$58,2,FALSE)="Fixed","Fixed",(AE$22)))</f>
        <v>11</v>
      </c>
      <c r="AF28" s="25">
        <f t="shared" si="19"/>
        <v>0.1</v>
      </c>
      <c r="AH28" s="173">
        <f>INDEX(Input!$C$46:$AM$58,MATCH($A28,Input!$A$46:$A$58,0),MATCH(AH$13,Input!$C$45:$AM$45,0))</f>
        <v>8.8400000000000006E-3</v>
      </c>
      <c r="AI28" s="31">
        <f>IF(VLOOKUP($A28,Input!$A$46:$B$58,2,FALSE)="Percentage",AJ$22,IF(VLOOKUP($A28,Input!$A$46:$B$58,2,FALSE)="Fixed","Fixed",(AI$22)))</f>
        <v>11</v>
      </c>
      <c r="AJ28" s="25">
        <f t="shared" si="20"/>
        <v>0.1</v>
      </c>
      <c r="AL28" s="173">
        <f>INDEX(Input!$C$46:$AM$58,MATCH($A28,Input!$A$46:$A$58,0),MATCH(AL$13,Input!$C$45:$AM$45,0))</f>
        <v>8.8400000000000006E-3</v>
      </c>
      <c r="AM28" s="31">
        <f>IF(VLOOKUP($A28,Input!$A$46:$B$58,2,FALSE)="Percentage",AN$22,IF(VLOOKUP($A28,Input!$A$46:$B$58,2,FALSE)="Fixed","Fixed",(AM$22)))</f>
        <v>11</v>
      </c>
      <c r="AN28" s="25">
        <f t="shared" si="21"/>
        <v>0.1</v>
      </c>
      <c r="AP28" s="173">
        <f>INDEX(Input!$C$46:$AM$58,MATCH($A28,Input!$A$46:$A$58,0),MATCH(AP$13,Input!$C$45:$AM$45,0))</f>
        <v>8.8400000000000006E-3</v>
      </c>
      <c r="AQ28" s="31">
        <f>IF(VLOOKUP($A28,Input!$A$46:$B$58,2,FALSE)="Percentage",AR$22,IF(VLOOKUP($A28,Input!$A$46:$B$58,2,FALSE)="Fixed","Fixed",(AQ$22)))</f>
        <v>11</v>
      </c>
      <c r="AR28" s="25">
        <f t="shared" si="22"/>
        <v>0.1</v>
      </c>
      <c r="AS28" s="30"/>
      <c r="AT28" s="173">
        <f>INDEX(Input!$C$46:$AM$58,MATCH($A28,Input!$A$46:$A$58,0),MATCH(AT$13,Input!$C$45:$AM$45,0))</f>
        <v>8.8400000000000006E-3</v>
      </c>
      <c r="AU28" s="31">
        <f>IF(VLOOKUP($A28,Input!$A$46:$B$58,2,FALSE)="Percentage",AV$22,IF(VLOOKUP($A28,Input!$A$46:$B$58,2,FALSE)="Fixed","Fixed",(AU$22)))</f>
        <v>11</v>
      </c>
      <c r="AV28" s="25">
        <f t="shared" si="23"/>
        <v>0.1</v>
      </c>
    </row>
    <row r="29" spans="1:48" x14ac:dyDescent="0.55000000000000004">
      <c r="A29" t="str">
        <f>Input!A50</f>
        <v>2022 Surcredit</v>
      </c>
      <c r="B29" s="173">
        <f>INDEX(Input!$C$46:$AM$58,MATCH($A29,Input!$A$46:$A$58,0),MATCH(B$13,Input!$C$45:$AM$45,0))</f>
        <v>0</v>
      </c>
      <c r="C29" s="31" t="str">
        <f>IF(VLOOKUP($A29,Input!$A$46:$B$58,2,FALSE)="Percentage",D$22,IF(VLOOKUP($A29,Input!$A$46:$B$58,2,FALSE)="Fixed","Fixed",(C$22)))</f>
        <v>Fixed</v>
      </c>
      <c r="D29" s="25">
        <f t="shared" si="12"/>
        <v>0</v>
      </c>
      <c r="F29" s="173">
        <f>INDEX(Input!$C$46:$AM$58,MATCH($A29,Input!$A$46:$A$58,0),MATCH(F$13,Input!$C$45:$AM$45,0))</f>
        <v>0</v>
      </c>
      <c r="G29" s="31" t="str">
        <f>IF(VLOOKUP($A29,Input!$A$46:$B$58,2,FALSE)="Percentage",H$22,IF(VLOOKUP($A29,Input!$A$46:$B$58,2,FALSE)="Fixed","Fixed",(G$22)))</f>
        <v>Fixed</v>
      </c>
      <c r="H29" s="25">
        <f t="shared" si="13"/>
        <v>0</v>
      </c>
      <c r="J29" s="173">
        <f>INDEX(Input!$C$46:$AM$58,MATCH($A29,Input!$A$46:$A$58,0),MATCH(J$13,Input!$C$45:$AM$45,0))</f>
        <v>0</v>
      </c>
      <c r="K29" s="31" t="str">
        <f>IF(VLOOKUP($A29,Input!$A$46:$B$58,2,FALSE)="Percentage",L$22,IF(VLOOKUP($A29,Input!$A$46:$B$58,2,FALSE)="Fixed","Fixed",(K$22)))</f>
        <v>Fixed</v>
      </c>
      <c r="L29" s="25">
        <f t="shared" si="14"/>
        <v>0</v>
      </c>
      <c r="N29" s="173">
        <f>INDEX(Input!$C$46:$AM$58,MATCH($A29,Input!$A$46:$A$58,0),MATCH(N$13,Input!$C$45:$AM$45,0))</f>
        <v>0</v>
      </c>
      <c r="O29" s="31" t="str">
        <f>IF(VLOOKUP($A29,Input!$A$46:$B$58,2,FALSE)="Percentage",P$22,IF(VLOOKUP($A29,Input!$A$46:$B$58,2,FALSE)="Fixed","Fixed",(O$22)))</f>
        <v>Fixed</v>
      </c>
      <c r="P29" s="25">
        <f t="shared" si="15"/>
        <v>0</v>
      </c>
      <c r="R29" s="173">
        <f>INDEX(Input!$C$46:$AM$58,MATCH($A29,Input!$A$46:$A$58,0),MATCH(R$13,Input!$C$45:$AM$45,0))</f>
        <v>0</v>
      </c>
      <c r="S29" s="31" t="str">
        <f>IF(VLOOKUP($A29,Input!$A$46:$B$58,2,FALSE)="Percentage",T$22,IF(VLOOKUP($A29,Input!$A$46:$B$58,2,FALSE)="Fixed","Fixed",(S$22)))</f>
        <v>Fixed</v>
      </c>
      <c r="T29" s="25">
        <f t="shared" si="16"/>
        <v>0</v>
      </c>
      <c r="V29" s="173">
        <f>INDEX(Input!$C$46:$AM$58,MATCH($A29,Input!$A$46:$A$58,0),MATCH(V$13,Input!$C$45:$AM$45,0))</f>
        <v>0</v>
      </c>
      <c r="W29" s="31" t="str">
        <f>IF(VLOOKUP($A29,Input!$A$46:$B$58,2,FALSE)="Percentage",X$22,IF(VLOOKUP($A29,Input!$A$46:$B$58,2,FALSE)="Fixed","Fixed",(W$22)))</f>
        <v>Fixed</v>
      </c>
      <c r="X29" s="25">
        <f t="shared" si="17"/>
        <v>0</v>
      </c>
      <c r="Z29" s="173">
        <f>INDEX(Input!$C$46:$AM$58,MATCH($A29,Input!$A$46:$A$58,0),MATCH(Z$13,Input!$C$45:$AM$45,0))</f>
        <v>0</v>
      </c>
      <c r="AA29" s="31" t="str">
        <f>IF(VLOOKUP($A29,Input!$A$46:$B$58,2,FALSE)="Percentage",AB$22,IF(VLOOKUP($A29,Input!$A$46:$B$58,2,FALSE)="Fixed","Fixed",(AA$22)))</f>
        <v>Fixed</v>
      </c>
      <c r="AB29" s="25">
        <f t="shared" si="18"/>
        <v>0</v>
      </c>
      <c r="AD29" s="173">
        <f>INDEX(Input!$C$46:$AM$58,MATCH($A29,Input!$A$46:$A$58,0),MATCH(AD$13,Input!$C$45:$AM$45,0))</f>
        <v>0</v>
      </c>
      <c r="AE29" s="31" t="str">
        <f>IF(VLOOKUP($A29,Input!$A$46:$B$58,2,FALSE)="Percentage",AF$22,IF(VLOOKUP($A29,Input!$A$46:$B$58,2,FALSE)="Fixed","Fixed",(AE$22)))</f>
        <v>Fixed</v>
      </c>
      <c r="AF29" s="25">
        <f t="shared" si="19"/>
        <v>0</v>
      </c>
      <c r="AH29" s="173">
        <f>INDEX(Input!$C$46:$AM$58,MATCH($A29,Input!$A$46:$A$58,0),MATCH(AH$13,Input!$C$45:$AM$45,0))</f>
        <v>0</v>
      </c>
      <c r="AI29" s="31" t="str">
        <f>IF(VLOOKUP($A29,Input!$A$46:$B$58,2,FALSE)="Percentage",AJ$22,IF(VLOOKUP($A29,Input!$A$46:$B$58,2,FALSE)="Fixed","Fixed",(AI$22)))</f>
        <v>Fixed</v>
      </c>
      <c r="AJ29" s="25">
        <f t="shared" si="20"/>
        <v>0</v>
      </c>
      <c r="AL29" s="173">
        <f>INDEX(Input!$C$46:$AM$58,MATCH($A29,Input!$A$46:$A$58,0),MATCH(AL$13,Input!$C$45:$AM$45,0))</f>
        <v>0</v>
      </c>
      <c r="AM29" s="31" t="str">
        <f>IF(VLOOKUP($A29,Input!$A$46:$B$58,2,FALSE)="Percentage",AN$22,IF(VLOOKUP($A29,Input!$A$46:$B$58,2,FALSE)="Fixed","Fixed",(AM$22)))</f>
        <v>Fixed</v>
      </c>
      <c r="AN29" s="25">
        <f t="shared" si="21"/>
        <v>0</v>
      </c>
      <c r="AP29" s="173">
        <f>INDEX(Input!$C$46:$AM$58,MATCH($A29,Input!$A$46:$A$58,0),MATCH(AP$13,Input!$C$45:$AM$45,0))</f>
        <v>0</v>
      </c>
      <c r="AQ29" s="31" t="str">
        <f>IF(VLOOKUP($A29,Input!$A$46:$B$58,2,FALSE)="Percentage",AR$22,IF(VLOOKUP($A29,Input!$A$46:$B$58,2,FALSE)="Fixed","Fixed",(AQ$22)))</f>
        <v>Fixed</v>
      </c>
      <c r="AR29" s="25">
        <f t="shared" si="22"/>
        <v>0</v>
      </c>
      <c r="AS29" s="30"/>
      <c r="AT29" s="173">
        <f>INDEX(Input!$C$46:$AM$58,MATCH($A29,Input!$A$46:$A$58,0),MATCH(AT$13,Input!$C$45:$AM$45,0))</f>
        <v>0</v>
      </c>
      <c r="AU29" s="31" t="str">
        <f>IF(VLOOKUP($A29,Input!$A$46:$B$58,2,FALSE)="Percentage",AV$22,IF(VLOOKUP($A29,Input!$A$46:$B$58,2,FALSE)="Fixed","Fixed",(AU$22)))</f>
        <v>Fixed</v>
      </c>
      <c r="AV29" s="25">
        <f t="shared" si="23"/>
        <v>0</v>
      </c>
    </row>
    <row r="30" spans="1:48" x14ac:dyDescent="0.55000000000000004">
      <c r="A30" t="str">
        <f>Input!A51</f>
        <v>Interim Memo Account Surcharge</v>
      </c>
      <c r="B30" s="173">
        <f>INDEX(Input!$C$46:$AM$58,MATCH($A30,Input!$A$46:$A$58,0),MATCH(B$13,Input!$C$45:$AM$45,0))</f>
        <v>0</v>
      </c>
      <c r="C30" s="31">
        <f>IF(VLOOKUP($A30,Input!$A$46:$B$58,2,FALSE)="Percentage",D$22,IF(VLOOKUP($A30,Input!$A$46:$B$58,2,FALSE)="Fixed","Fixed",(C$22)))</f>
        <v>11</v>
      </c>
      <c r="D30" s="25">
        <f t="shared" si="12"/>
        <v>0</v>
      </c>
      <c r="F30" s="173">
        <f>INDEX(Input!$C$46:$AM$58,MATCH($A30,Input!$A$46:$A$58,0),MATCH(F$13,Input!$C$45:$AM$45,0))</f>
        <v>0</v>
      </c>
      <c r="G30" s="31">
        <f>IF(VLOOKUP($A30,Input!$A$46:$B$58,2,FALSE)="Percentage",H$22,IF(VLOOKUP($A30,Input!$A$46:$B$58,2,FALSE)="Fixed","Fixed",(G$22)))</f>
        <v>11</v>
      </c>
      <c r="H30" s="25">
        <f t="shared" si="13"/>
        <v>0</v>
      </c>
      <c r="J30" s="173">
        <f>INDEX(Input!$C$46:$AM$58,MATCH($A30,Input!$A$46:$A$58,0),MATCH(J$13,Input!$C$45:$AM$45,0))</f>
        <v>0</v>
      </c>
      <c r="K30" s="31">
        <f>IF(VLOOKUP($A30,Input!$A$46:$B$58,2,FALSE)="Percentage",L$22,IF(VLOOKUP($A30,Input!$A$46:$B$58,2,FALSE)="Fixed","Fixed",(K$22)))</f>
        <v>11</v>
      </c>
      <c r="L30" s="25">
        <f t="shared" si="14"/>
        <v>0</v>
      </c>
      <c r="N30" s="173">
        <f>INDEX(Input!$C$46:$AM$58,MATCH($A30,Input!$A$46:$A$58,0),MATCH(N$13,Input!$C$45:$AM$45,0))</f>
        <v>0</v>
      </c>
      <c r="O30" s="31">
        <f>IF(VLOOKUP($A30,Input!$A$46:$B$58,2,FALSE)="Percentage",P$22,IF(VLOOKUP($A30,Input!$A$46:$B$58,2,FALSE)="Fixed","Fixed",(O$22)))</f>
        <v>11</v>
      </c>
      <c r="P30" s="25">
        <f t="shared" si="15"/>
        <v>0</v>
      </c>
      <c r="R30" s="173">
        <f>INDEX(Input!$C$46:$AM$58,MATCH($A30,Input!$A$46:$A$58,0),MATCH(R$13,Input!$C$45:$AM$45,0))</f>
        <v>0</v>
      </c>
      <c r="S30" s="31">
        <f>IF(VLOOKUP($A30,Input!$A$46:$B$58,2,FALSE)="Percentage",T$22,IF(VLOOKUP($A30,Input!$A$46:$B$58,2,FALSE)="Fixed","Fixed",(S$22)))</f>
        <v>11</v>
      </c>
      <c r="T30" s="25">
        <f t="shared" si="16"/>
        <v>0</v>
      </c>
      <c r="V30" s="173">
        <f>INDEX(Input!$C$46:$AM$58,MATCH($A30,Input!$A$46:$A$58,0),MATCH(V$13,Input!$C$45:$AM$45,0))</f>
        <v>0</v>
      </c>
      <c r="W30" s="31">
        <f>IF(VLOOKUP($A30,Input!$A$46:$B$58,2,FALSE)="Percentage",X$22,IF(VLOOKUP($A30,Input!$A$46:$B$58,2,FALSE)="Fixed","Fixed",(W$22)))</f>
        <v>11</v>
      </c>
      <c r="X30" s="25">
        <f t="shared" si="17"/>
        <v>0</v>
      </c>
      <c r="Z30" s="173">
        <f>INDEX(Input!$C$46:$AM$58,MATCH($A30,Input!$A$46:$A$58,0),MATCH(Z$13,Input!$C$45:$AM$45,0))</f>
        <v>0</v>
      </c>
      <c r="AA30" s="31">
        <f>IF(VLOOKUP($A30,Input!$A$46:$B$58,2,FALSE)="Percentage",AB$22,IF(VLOOKUP($A30,Input!$A$46:$B$58,2,FALSE)="Fixed","Fixed",(AA$22)))</f>
        <v>11</v>
      </c>
      <c r="AB30" s="25">
        <f t="shared" si="18"/>
        <v>0</v>
      </c>
      <c r="AD30" s="173">
        <f>INDEX(Input!$C$46:$AM$58,MATCH($A30,Input!$A$46:$A$58,0),MATCH(AD$13,Input!$C$45:$AM$45,0))</f>
        <v>0</v>
      </c>
      <c r="AE30" s="31">
        <f>IF(VLOOKUP($A30,Input!$A$46:$B$58,2,FALSE)="Percentage",AF$22,IF(VLOOKUP($A30,Input!$A$46:$B$58,2,FALSE)="Fixed","Fixed",(AE$22)))</f>
        <v>11</v>
      </c>
      <c r="AF30" s="25">
        <f t="shared" si="19"/>
        <v>0</v>
      </c>
      <c r="AH30" s="173">
        <f>INDEX(Input!$C$46:$AM$58,MATCH($A30,Input!$A$46:$A$58,0),MATCH(AH$13,Input!$C$45:$AM$45,0))</f>
        <v>0</v>
      </c>
      <c r="AI30" s="31">
        <f>IF(VLOOKUP($A30,Input!$A$46:$B$58,2,FALSE)="Percentage",AJ$22,IF(VLOOKUP($A30,Input!$A$46:$B$58,2,FALSE)="Fixed","Fixed",(AI$22)))</f>
        <v>11</v>
      </c>
      <c r="AJ30" s="25">
        <f t="shared" si="20"/>
        <v>0</v>
      </c>
      <c r="AL30" s="173">
        <f>INDEX(Input!$C$46:$AM$58,MATCH($A30,Input!$A$46:$A$58,0),MATCH(AL$13,Input!$C$45:$AM$45,0))</f>
        <v>0</v>
      </c>
      <c r="AM30" s="31">
        <f>IF(VLOOKUP($A30,Input!$A$46:$B$58,2,FALSE)="Percentage",AN$22,IF(VLOOKUP($A30,Input!$A$46:$B$58,2,FALSE)="Fixed","Fixed",(AM$22)))</f>
        <v>11</v>
      </c>
      <c r="AN30" s="25">
        <f t="shared" si="21"/>
        <v>0</v>
      </c>
      <c r="AP30" s="173">
        <f>INDEX(Input!$C$46:$AM$58,MATCH($A30,Input!$A$46:$A$58,0),MATCH(AP$13,Input!$C$45:$AM$45,0))</f>
        <v>0</v>
      </c>
      <c r="AQ30" s="31">
        <f>IF(VLOOKUP($A30,Input!$A$46:$B$58,2,FALSE)="Percentage",AR$22,IF(VLOOKUP($A30,Input!$A$46:$B$58,2,FALSE)="Fixed","Fixed",(AQ$22)))</f>
        <v>11</v>
      </c>
      <c r="AR30" s="25">
        <f t="shared" si="22"/>
        <v>0</v>
      </c>
      <c r="AS30" s="30"/>
      <c r="AT30" s="173">
        <f>INDEX(Input!$C$46:$AM$58,MATCH($A30,Input!$A$46:$A$58,0),MATCH(AT$13,Input!$C$45:$AM$45,0))</f>
        <v>0</v>
      </c>
      <c r="AU30" s="31">
        <f>IF(VLOOKUP($A30,Input!$A$46:$B$58,2,FALSE)="Percentage",AV$22,IF(VLOOKUP($A30,Input!$A$46:$B$58,2,FALSE)="Fixed","Fixed",(AU$22)))</f>
        <v>11</v>
      </c>
      <c r="AV30" s="25">
        <f t="shared" si="23"/>
        <v>0</v>
      </c>
    </row>
    <row r="31" spans="1:48" x14ac:dyDescent="0.55000000000000004">
      <c r="A31">
        <f>Input!A52</f>
        <v>0</v>
      </c>
      <c r="B31" s="173">
        <f>INDEX(Input!$C$46:$AM$58,MATCH($A31,Input!$A$46:$A$58,0),MATCH(B$13,Input!$C$45:$AM$45,0))</f>
        <v>0</v>
      </c>
      <c r="C31" s="31">
        <f>IF(VLOOKUP($A31,Input!$A$46:$B$58,2,FALSE)="Percentage",D$22,IF(VLOOKUP($A31,Input!$A$46:$B$58,2,FALSE)="Fixed","Fixed",(C$22)))</f>
        <v>11</v>
      </c>
      <c r="D31" s="25">
        <f t="shared" si="12"/>
        <v>0</v>
      </c>
      <c r="F31" s="173">
        <f>INDEX(Input!$C$46:$AM$58,MATCH($A31,Input!$A$46:$A$58,0),MATCH(F$13,Input!$C$45:$AM$45,0))</f>
        <v>0</v>
      </c>
      <c r="G31" s="31">
        <f>IF(VLOOKUP($A31,Input!$A$46:$B$58,2,FALSE)="Percentage",H$22,IF(VLOOKUP($A31,Input!$A$46:$B$58,2,FALSE)="Fixed","Fixed",(G$22)))</f>
        <v>11</v>
      </c>
      <c r="H31" s="25">
        <f t="shared" si="13"/>
        <v>0</v>
      </c>
      <c r="J31" s="173">
        <f>INDEX(Input!$C$46:$AM$58,MATCH($A31,Input!$A$46:$A$58,0),MATCH(J$13,Input!$C$45:$AM$45,0))</f>
        <v>0</v>
      </c>
      <c r="K31" s="31">
        <f>IF(VLOOKUP($A31,Input!$A$46:$B$58,2,FALSE)="Percentage",L$22,IF(VLOOKUP($A31,Input!$A$46:$B$58,2,FALSE)="Fixed","Fixed",(K$22)))</f>
        <v>11</v>
      </c>
      <c r="L31" s="25">
        <f t="shared" si="14"/>
        <v>0</v>
      </c>
      <c r="N31" s="173">
        <f>INDEX(Input!$C$46:$AM$58,MATCH($A31,Input!$A$46:$A$58,0),MATCH(N$13,Input!$C$45:$AM$45,0))</f>
        <v>0</v>
      </c>
      <c r="O31" s="31">
        <f>IF(VLOOKUP($A31,Input!$A$46:$B$58,2,FALSE)="Percentage",P$22,IF(VLOOKUP($A31,Input!$A$46:$B$58,2,FALSE)="Fixed","Fixed",(O$22)))</f>
        <v>11</v>
      </c>
      <c r="P31" s="25">
        <f t="shared" si="15"/>
        <v>0</v>
      </c>
      <c r="R31" s="173">
        <f>INDEX(Input!$C$46:$AM$58,MATCH($A31,Input!$A$46:$A$58,0),MATCH(R$13,Input!$C$45:$AM$45,0))</f>
        <v>0</v>
      </c>
      <c r="S31" s="31">
        <f>IF(VLOOKUP($A31,Input!$A$46:$B$58,2,FALSE)="Percentage",T$22,IF(VLOOKUP($A31,Input!$A$46:$B$58,2,FALSE)="Fixed","Fixed",(S$22)))</f>
        <v>11</v>
      </c>
      <c r="T31" s="25">
        <f t="shared" si="16"/>
        <v>0</v>
      </c>
      <c r="V31" s="173">
        <f>INDEX(Input!$C$46:$AM$58,MATCH($A31,Input!$A$46:$A$58,0),MATCH(V$13,Input!$C$45:$AM$45,0))</f>
        <v>0</v>
      </c>
      <c r="W31" s="31">
        <f>IF(VLOOKUP($A31,Input!$A$46:$B$58,2,FALSE)="Percentage",X$22,IF(VLOOKUP($A31,Input!$A$46:$B$58,2,FALSE)="Fixed","Fixed",(W$22)))</f>
        <v>11</v>
      </c>
      <c r="X31" s="25">
        <f t="shared" si="17"/>
        <v>0</v>
      </c>
      <c r="Z31" s="173">
        <f>INDEX(Input!$C$46:$AM$58,MATCH($A31,Input!$A$46:$A$58,0),MATCH(Z$13,Input!$C$45:$AM$45,0))</f>
        <v>0</v>
      </c>
      <c r="AA31" s="31">
        <f>IF(VLOOKUP($A31,Input!$A$46:$B$58,2,FALSE)="Percentage",AB$22,IF(VLOOKUP($A31,Input!$A$46:$B$58,2,FALSE)="Fixed","Fixed",(AA$22)))</f>
        <v>11</v>
      </c>
      <c r="AB31" s="25">
        <f t="shared" si="18"/>
        <v>0</v>
      </c>
      <c r="AD31" s="173">
        <f>INDEX(Input!$C$46:$AM$58,MATCH($A31,Input!$A$46:$A$58,0),MATCH(AD$13,Input!$C$45:$AM$45,0))</f>
        <v>0</v>
      </c>
      <c r="AE31" s="31">
        <f>IF(VLOOKUP($A31,Input!$A$46:$B$58,2,FALSE)="Percentage",AF$22,IF(VLOOKUP($A31,Input!$A$46:$B$58,2,FALSE)="Fixed","Fixed",(AE$22)))</f>
        <v>11</v>
      </c>
      <c r="AF31" s="25">
        <f t="shared" si="19"/>
        <v>0</v>
      </c>
      <c r="AH31" s="173">
        <f>INDEX(Input!$C$46:$AM$58,MATCH($A31,Input!$A$46:$A$58,0),MATCH(AH$13,Input!$C$45:$AM$45,0))</f>
        <v>0</v>
      </c>
      <c r="AI31" s="31">
        <f>IF(VLOOKUP($A31,Input!$A$46:$B$58,2,FALSE)="Percentage",AJ$22,IF(VLOOKUP($A31,Input!$A$46:$B$58,2,FALSE)="Fixed","Fixed",(AI$22)))</f>
        <v>11</v>
      </c>
      <c r="AJ31" s="25">
        <f t="shared" si="20"/>
        <v>0</v>
      </c>
      <c r="AL31" s="173">
        <f>INDEX(Input!$C$46:$AM$58,MATCH($A31,Input!$A$46:$A$58,0),MATCH(AL$13,Input!$C$45:$AM$45,0))</f>
        <v>0</v>
      </c>
      <c r="AM31" s="31">
        <f>IF(VLOOKUP($A31,Input!$A$46:$B$58,2,FALSE)="Percentage",AN$22,IF(VLOOKUP($A31,Input!$A$46:$B$58,2,FALSE)="Fixed","Fixed",(AM$22)))</f>
        <v>11</v>
      </c>
      <c r="AN31" s="25">
        <f t="shared" si="21"/>
        <v>0</v>
      </c>
      <c r="AP31" s="173">
        <f>INDEX(Input!$C$46:$AM$58,MATCH($A31,Input!$A$46:$A$58,0),MATCH(AP$13,Input!$C$45:$AM$45,0))</f>
        <v>0</v>
      </c>
      <c r="AQ31" s="31">
        <f>IF(VLOOKUP($A31,Input!$A$46:$B$58,2,FALSE)="Percentage",AR$22,IF(VLOOKUP($A31,Input!$A$46:$B$58,2,FALSE)="Fixed","Fixed",(AQ$22)))</f>
        <v>11</v>
      </c>
      <c r="AR31" s="25">
        <f t="shared" si="22"/>
        <v>0</v>
      </c>
      <c r="AS31" s="30"/>
      <c r="AT31" s="173">
        <f>INDEX(Input!$C$46:$AM$58,MATCH($A31,Input!$A$46:$A$58,0),MATCH(AT$13,Input!$C$45:$AM$45,0))</f>
        <v>0</v>
      </c>
      <c r="AU31" s="31">
        <f>IF(VLOOKUP($A31,Input!$A$46:$B$58,2,FALSE)="Percentage",AV$22,IF(VLOOKUP($A31,Input!$A$46:$B$58,2,FALSE)="Fixed","Fixed",(AU$22)))</f>
        <v>11</v>
      </c>
      <c r="AV31" s="25">
        <f t="shared" si="23"/>
        <v>0</v>
      </c>
    </row>
    <row r="32" spans="1:48" x14ac:dyDescent="0.55000000000000004">
      <c r="A32">
        <f>Input!A53</f>
        <v>0</v>
      </c>
      <c r="B32" s="173">
        <f>INDEX(Input!$C$46:$AM$58,MATCH($A32,Input!$A$46:$A$58,0),MATCH(B$13,Input!$C$45:$AM$45,0))</f>
        <v>0</v>
      </c>
      <c r="C32" s="31">
        <f>IF(VLOOKUP($A32,Input!$A$46:$B$58,2,FALSE)="Percentage",D$22,IF(VLOOKUP($A32,Input!$A$46:$B$58,2,FALSE)="Fixed","Fixed",(C$22)))</f>
        <v>11</v>
      </c>
      <c r="D32" s="25">
        <f t="shared" si="12"/>
        <v>0</v>
      </c>
      <c r="F32" s="173">
        <f>INDEX(Input!$C$46:$AM$58,MATCH($A32,Input!$A$46:$A$58,0),MATCH(F$13,Input!$C$45:$AM$45,0))</f>
        <v>0</v>
      </c>
      <c r="G32" s="31">
        <f>IF(VLOOKUP($A32,Input!$A$46:$B$58,2,FALSE)="Percentage",H$22,IF(VLOOKUP($A32,Input!$A$46:$B$58,2,FALSE)="Fixed","Fixed",(G$22)))</f>
        <v>11</v>
      </c>
      <c r="H32" s="25">
        <f t="shared" si="13"/>
        <v>0</v>
      </c>
      <c r="J32" s="173">
        <f>INDEX(Input!$C$46:$AM$58,MATCH($A32,Input!$A$46:$A$58,0),MATCH(J$13,Input!$C$45:$AM$45,0))</f>
        <v>0</v>
      </c>
      <c r="K32" s="31">
        <f>IF(VLOOKUP($A32,Input!$A$46:$B$58,2,FALSE)="Percentage",L$22,IF(VLOOKUP($A32,Input!$A$46:$B$58,2,FALSE)="Fixed","Fixed",(K$22)))</f>
        <v>11</v>
      </c>
      <c r="L32" s="25">
        <f t="shared" si="14"/>
        <v>0</v>
      </c>
      <c r="N32" s="173">
        <f>INDEX(Input!$C$46:$AM$58,MATCH($A32,Input!$A$46:$A$58,0),MATCH(N$13,Input!$C$45:$AM$45,0))</f>
        <v>0</v>
      </c>
      <c r="O32" s="31">
        <f>IF(VLOOKUP($A32,Input!$A$46:$B$58,2,FALSE)="Percentage",P$22,IF(VLOOKUP($A32,Input!$A$46:$B$58,2,FALSE)="Fixed","Fixed",(O$22)))</f>
        <v>11</v>
      </c>
      <c r="P32" s="25">
        <f t="shared" si="15"/>
        <v>0</v>
      </c>
      <c r="R32" s="173">
        <f>INDEX(Input!$C$46:$AM$58,MATCH($A32,Input!$A$46:$A$58,0),MATCH(R$13,Input!$C$45:$AM$45,0))</f>
        <v>0</v>
      </c>
      <c r="S32" s="31">
        <f>IF(VLOOKUP($A32,Input!$A$46:$B$58,2,FALSE)="Percentage",T$22,IF(VLOOKUP($A32,Input!$A$46:$B$58,2,FALSE)="Fixed","Fixed",(S$22)))</f>
        <v>11</v>
      </c>
      <c r="T32" s="25">
        <f t="shared" si="16"/>
        <v>0</v>
      </c>
      <c r="V32" s="173">
        <f>INDEX(Input!$C$46:$AM$58,MATCH($A32,Input!$A$46:$A$58,0),MATCH(V$13,Input!$C$45:$AM$45,0))</f>
        <v>0</v>
      </c>
      <c r="W32" s="31">
        <f>IF(VLOOKUP($A32,Input!$A$46:$B$58,2,FALSE)="Percentage",X$22,IF(VLOOKUP($A32,Input!$A$46:$B$58,2,FALSE)="Fixed","Fixed",(W$22)))</f>
        <v>11</v>
      </c>
      <c r="X32" s="25">
        <f t="shared" si="17"/>
        <v>0</v>
      </c>
      <c r="Z32" s="173">
        <f>INDEX(Input!$C$46:$AM$58,MATCH($A32,Input!$A$46:$A$58,0),MATCH(Z$13,Input!$C$45:$AM$45,0))</f>
        <v>0</v>
      </c>
      <c r="AA32" s="31">
        <f>IF(VLOOKUP($A32,Input!$A$46:$B$58,2,FALSE)="Percentage",AB$22,IF(VLOOKUP($A32,Input!$A$46:$B$58,2,FALSE)="Fixed","Fixed",(AA$22)))</f>
        <v>11</v>
      </c>
      <c r="AB32" s="25">
        <f t="shared" si="18"/>
        <v>0</v>
      </c>
      <c r="AD32" s="173">
        <f>INDEX(Input!$C$46:$AM$58,MATCH($A32,Input!$A$46:$A$58,0),MATCH(AD$13,Input!$C$45:$AM$45,0))</f>
        <v>0</v>
      </c>
      <c r="AE32" s="31">
        <f>IF(VLOOKUP($A32,Input!$A$46:$B$58,2,FALSE)="Percentage",AF$22,IF(VLOOKUP($A32,Input!$A$46:$B$58,2,FALSE)="Fixed","Fixed",(AE$22)))</f>
        <v>11</v>
      </c>
      <c r="AF32" s="25">
        <f t="shared" si="19"/>
        <v>0</v>
      </c>
      <c r="AH32" s="173">
        <f>INDEX(Input!$C$46:$AM$58,MATCH($A32,Input!$A$46:$A$58,0),MATCH(AH$13,Input!$C$45:$AM$45,0))</f>
        <v>0</v>
      </c>
      <c r="AI32" s="31">
        <f>IF(VLOOKUP($A32,Input!$A$46:$B$58,2,FALSE)="Percentage",AJ$22,IF(VLOOKUP($A32,Input!$A$46:$B$58,2,FALSE)="Fixed","Fixed",(AI$22)))</f>
        <v>11</v>
      </c>
      <c r="AJ32" s="25">
        <f t="shared" si="20"/>
        <v>0</v>
      </c>
      <c r="AL32" s="173">
        <f>INDEX(Input!$C$46:$AM$58,MATCH($A32,Input!$A$46:$A$58,0),MATCH(AL$13,Input!$C$45:$AM$45,0))</f>
        <v>0</v>
      </c>
      <c r="AM32" s="31">
        <f>IF(VLOOKUP($A32,Input!$A$46:$B$58,2,FALSE)="Percentage",AN$22,IF(VLOOKUP($A32,Input!$A$46:$B$58,2,FALSE)="Fixed","Fixed",(AM$22)))</f>
        <v>11</v>
      </c>
      <c r="AN32" s="25">
        <f t="shared" si="21"/>
        <v>0</v>
      </c>
      <c r="AP32" s="173">
        <f>INDEX(Input!$C$46:$AM$58,MATCH($A32,Input!$A$46:$A$58,0),MATCH(AP$13,Input!$C$45:$AM$45,0))</f>
        <v>0</v>
      </c>
      <c r="AQ32" s="31">
        <f>IF(VLOOKUP($A32,Input!$A$46:$B$58,2,FALSE)="Percentage",AR$22,IF(VLOOKUP($A32,Input!$A$46:$B$58,2,FALSE)="Fixed","Fixed",(AQ$22)))</f>
        <v>11</v>
      </c>
      <c r="AR32" s="25">
        <f t="shared" si="22"/>
        <v>0</v>
      </c>
      <c r="AS32" s="30"/>
      <c r="AT32" s="173">
        <f>INDEX(Input!$C$46:$AM$58,MATCH($A32,Input!$A$46:$A$58,0),MATCH(AT$13,Input!$C$45:$AM$45,0))</f>
        <v>0</v>
      </c>
      <c r="AU32" s="31">
        <f>IF(VLOOKUP($A32,Input!$A$46:$B$58,2,FALSE)="Percentage",AV$22,IF(VLOOKUP($A32,Input!$A$46:$B$58,2,FALSE)="Fixed","Fixed",(AU$22)))</f>
        <v>11</v>
      </c>
      <c r="AV32" s="25">
        <f t="shared" si="23"/>
        <v>0</v>
      </c>
    </row>
    <row r="33" spans="1:48" x14ac:dyDescent="0.55000000000000004">
      <c r="A33">
        <f>Input!A54</f>
        <v>0</v>
      </c>
      <c r="B33" s="173">
        <f>INDEX(Input!$C$46:$AM$58,MATCH($A33,Input!$A$46:$A$58,0),MATCH(B$13,Input!$C$45:$AM$45,0))</f>
        <v>0</v>
      </c>
      <c r="C33" s="31">
        <f>IF(VLOOKUP($A33,Input!$A$46:$B$58,2,FALSE)="Percentage",D$22,IF(VLOOKUP($A33,Input!$A$46:$B$58,2,FALSE)="Fixed","Fixed",(C$22)))</f>
        <v>11</v>
      </c>
      <c r="D33" s="25">
        <f t="shared" si="12"/>
        <v>0</v>
      </c>
      <c r="F33" s="173">
        <f>INDEX(Input!$C$46:$AM$58,MATCH($A33,Input!$A$46:$A$58,0),MATCH(F$13,Input!$C$45:$AM$45,0))</f>
        <v>0</v>
      </c>
      <c r="G33" s="31">
        <f>IF(VLOOKUP($A33,Input!$A$46:$B$58,2,FALSE)="Percentage",H$22,IF(VLOOKUP($A33,Input!$A$46:$B$58,2,FALSE)="Fixed","Fixed",(G$22)))</f>
        <v>11</v>
      </c>
      <c r="H33" s="25">
        <f t="shared" si="13"/>
        <v>0</v>
      </c>
      <c r="J33" s="173">
        <f>INDEX(Input!$C$46:$AM$58,MATCH($A33,Input!$A$46:$A$58,0),MATCH(J$13,Input!$C$45:$AM$45,0))</f>
        <v>0</v>
      </c>
      <c r="K33" s="31">
        <f>IF(VLOOKUP($A33,Input!$A$46:$B$58,2,FALSE)="Percentage",L$22,IF(VLOOKUP($A33,Input!$A$46:$B$58,2,FALSE)="Fixed","Fixed",(K$22)))</f>
        <v>11</v>
      </c>
      <c r="L33" s="25">
        <f t="shared" si="14"/>
        <v>0</v>
      </c>
      <c r="N33" s="173">
        <f>INDEX(Input!$C$46:$AM$58,MATCH($A33,Input!$A$46:$A$58,0),MATCH(N$13,Input!$C$45:$AM$45,0))</f>
        <v>0</v>
      </c>
      <c r="O33" s="31">
        <f>IF(VLOOKUP($A33,Input!$A$46:$B$58,2,FALSE)="Percentage",P$22,IF(VLOOKUP($A33,Input!$A$46:$B$58,2,FALSE)="Fixed","Fixed",(O$22)))</f>
        <v>11</v>
      </c>
      <c r="P33" s="25">
        <f t="shared" si="15"/>
        <v>0</v>
      </c>
      <c r="R33" s="173">
        <f>INDEX(Input!$C$46:$AM$58,MATCH($A33,Input!$A$46:$A$58,0),MATCH(R$13,Input!$C$45:$AM$45,0))</f>
        <v>0</v>
      </c>
      <c r="S33" s="31">
        <f>IF(VLOOKUP($A33,Input!$A$46:$B$58,2,FALSE)="Percentage",T$22,IF(VLOOKUP($A33,Input!$A$46:$B$58,2,FALSE)="Fixed","Fixed",(S$22)))</f>
        <v>11</v>
      </c>
      <c r="T33" s="25">
        <f t="shared" si="16"/>
        <v>0</v>
      </c>
      <c r="V33" s="173">
        <f>INDEX(Input!$C$46:$AM$58,MATCH($A33,Input!$A$46:$A$58,0),MATCH(V$13,Input!$C$45:$AM$45,0))</f>
        <v>0</v>
      </c>
      <c r="W33" s="31">
        <f>IF(VLOOKUP($A33,Input!$A$46:$B$58,2,FALSE)="Percentage",X$22,IF(VLOOKUP($A33,Input!$A$46:$B$58,2,FALSE)="Fixed","Fixed",(W$22)))</f>
        <v>11</v>
      </c>
      <c r="X33" s="25">
        <f t="shared" si="17"/>
        <v>0</v>
      </c>
      <c r="Z33" s="173">
        <f>INDEX(Input!$C$46:$AM$58,MATCH($A33,Input!$A$46:$A$58,0),MATCH(Z$13,Input!$C$45:$AM$45,0))</f>
        <v>0</v>
      </c>
      <c r="AA33" s="31">
        <f>IF(VLOOKUP($A33,Input!$A$46:$B$58,2,FALSE)="Percentage",AB$22,IF(VLOOKUP($A33,Input!$A$46:$B$58,2,FALSE)="Fixed","Fixed",(AA$22)))</f>
        <v>11</v>
      </c>
      <c r="AB33" s="25">
        <f t="shared" si="18"/>
        <v>0</v>
      </c>
      <c r="AD33" s="173">
        <f>INDEX(Input!$C$46:$AM$58,MATCH($A33,Input!$A$46:$A$58,0),MATCH(AD$13,Input!$C$45:$AM$45,0))</f>
        <v>0</v>
      </c>
      <c r="AE33" s="31">
        <f>IF(VLOOKUP($A33,Input!$A$46:$B$58,2,FALSE)="Percentage",AF$22,IF(VLOOKUP($A33,Input!$A$46:$B$58,2,FALSE)="Fixed","Fixed",(AE$22)))</f>
        <v>11</v>
      </c>
      <c r="AF33" s="25">
        <f t="shared" si="19"/>
        <v>0</v>
      </c>
      <c r="AH33" s="173">
        <f>INDEX(Input!$C$46:$AM$58,MATCH($A33,Input!$A$46:$A$58,0),MATCH(AH$13,Input!$C$45:$AM$45,0))</f>
        <v>0</v>
      </c>
      <c r="AI33" s="31">
        <f>IF(VLOOKUP($A33,Input!$A$46:$B$58,2,FALSE)="Percentage",AJ$22,IF(VLOOKUP($A33,Input!$A$46:$B$58,2,FALSE)="Fixed","Fixed",(AI$22)))</f>
        <v>11</v>
      </c>
      <c r="AJ33" s="25">
        <f t="shared" si="20"/>
        <v>0</v>
      </c>
      <c r="AL33" s="173">
        <f>INDEX(Input!$C$46:$AM$58,MATCH($A33,Input!$A$46:$A$58,0),MATCH(AL$13,Input!$C$45:$AM$45,0))</f>
        <v>0</v>
      </c>
      <c r="AM33" s="31">
        <f>IF(VLOOKUP($A33,Input!$A$46:$B$58,2,FALSE)="Percentage",AN$22,IF(VLOOKUP($A33,Input!$A$46:$B$58,2,FALSE)="Fixed","Fixed",(AM$22)))</f>
        <v>11</v>
      </c>
      <c r="AN33" s="25">
        <f t="shared" si="21"/>
        <v>0</v>
      </c>
      <c r="AP33" s="173">
        <f>INDEX(Input!$C$46:$AM$58,MATCH($A33,Input!$A$46:$A$58,0),MATCH(AP$13,Input!$C$45:$AM$45,0))</f>
        <v>0</v>
      </c>
      <c r="AQ33" s="31">
        <f>IF(VLOOKUP($A33,Input!$A$46:$B$58,2,FALSE)="Percentage",AR$22,IF(VLOOKUP($A33,Input!$A$46:$B$58,2,FALSE)="Fixed","Fixed",(AQ$22)))</f>
        <v>11</v>
      </c>
      <c r="AR33" s="25">
        <f t="shared" si="22"/>
        <v>0</v>
      </c>
      <c r="AS33" s="30"/>
      <c r="AT33" s="173">
        <f>INDEX(Input!$C$46:$AM$58,MATCH($A33,Input!$A$46:$A$58,0),MATCH(AT$13,Input!$C$45:$AM$45,0))</f>
        <v>0</v>
      </c>
      <c r="AU33" s="31">
        <f>IF(VLOOKUP($A33,Input!$A$46:$B$58,2,FALSE)="Percentage",AV$22,IF(VLOOKUP($A33,Input!$A$46:$B$58,2,FALSE)="Fixed","Fixed",(AU$22)))</f>
        <v>11</v>
      </c>
      <c r="AV33" s="25">
        <f t="shared" si="23"/>
        <v>0</v>
      </c>
    </row>
    <row r="34" spans="1:48" x14ac:dyDescent="0.55000000000000004">
      <c r="A34">
        <f>Input!A55</f>
        <v>0</v>
      </c>
      <c r="B34" s="173">
        <f>INDEX(Input!$C$46:$AM$58,MATCH($A34,Input!$A$46:$A$58,0),MATCH(B$13,Input!$C$45:$AM$45,0))</f>
        <v>0</v>
      </c>
      <c r="C34" s="31">
        <f>IF(VLOOKUP($A34,Input!$A$46:$B$58,2,FALSE)="Percentage",D$22,IF(VLOOKUP($A34,Input!$A$46:$B$58,2,FALSE)="Fixed","Fixed",(C$22)))</f>
        <v>11</v>
      </c>
      <c r="D34" s="25">
        <f t="shared" si="12"/>
        <v>0</v>
      </c>
      <c r="F34" s="173">
        <f>INDEX(Input!$C$46:$AM$58,MATCH($A34,Input!$A$46:$A$58,0),MATCH(F$13,Input!$C$45:$AM$45,0))</f>
        <v>0</v>
      </c>
      <c r="G34" s="31">
        <f>IF(VLOOKUP($A34,Input!$A$46:$B$58,2,FALSE)="Percentage",H$22,IF(VLOOKUP($A34,Input!$A$46:$B$58,2,FALSE)="Fixed","Fixed",(G$22)))</f>
        <v>11</v>
      </c>
      <c r="H34" s="25">
        <f t="shared" si="13"/>
        <v>0</v>
      </c>
      <c r="J34" s="173">
        <f>INDEX(Input!$C$46:$AM$58,MATCH($A34,Input!$A$46:$A$58,0),MATCH(J$13,Input!$C$45:$AM$45,0))</f>
        <v>0</v>
      </c>
      <c r="K34" s="31">
        <f>IF(VLOOKUP($A34,Input!$A$46:$B$58,2,FALSE)="Percentage",L$22,IF(VLOOKUP($A34,Input!$A$46:$B$58,2,FALSE)="Fixed","Fixed",(K$22)))</f>
        <v>11</v>
      </c>
      <c r="L34" s="25">
        <f t="shared" si="14"/>
        <v>0</v>
      </c>
      <c r="N34" s="173">
        <f>INDEX(Input!$C$46:$AM$58,MATCH($A34,Input!$A$46:$A$58,0),MATCH(N$13,Input!$C$45:$AM$45,0))</f>
        <v>0</v>
      </c>
      <c r="O34" s="31">
        <f>IF(VLOOKUP($A34,Input!$A$46:$B$58,2,FALSE)="Percentage",P$22,IF(VLOOKUP($A34,Input!$A$46:$B$58,2,FALSE)="Fixed","Fixed",(O$22)))</f>
        <v>11</v>
      </c>
      <c r="P34" s="25">
        <f t="shared" si="15"/>
        <v>0</v>
      </c>
      <c r="R34" s="173">
        <f>INDEX(Input!$C$46:$AM$58,MATCH($A34,Input!$A$46:$A$58,0),MATCH(R$13,Input!$C$45:$AM$45,0))</f>
        <v>0</v>
      </c>
      <c r="S34" s="31">
        <f>IF(VLOOKUP($A34,Input!$A$46:$B$58,2,FALSE)="Percentage",T$22,IF(VLOOKUP($A34,Input!$A$46:$B$58,2,FALSE)="Fixed","Fixed",(S$22)))</f>
        <v>11</v>
      </c>
      <c r="T34" s="25">
        <f t="shared" si="16"/>
        <v>0</v>
      </c>
      <c r="V34" s="173">
        <f>INDEX(Input!$C$46:$AM$58,MATCH($A34,Input!$A$46:$A$58,0),MATCH(V$13,Input!$C$45:$AM$45,0))</f>
        <v>0</v>
      </c>
      <c r="W34" s="31">
        <f>IF(VLOOKUP($A34,Input!$A$46:$B$58,2,FALSE)="Percentage",X$22,IF(VLOOKUP($A34,Input!$A$46:$B$58,2,FALSE)="Fixed","Fixed",(W$22)))</f>
        <v>11</v>
      </c>
      <c r="X34" s="25">
        <f t="shared" si="17"/>
        <v>0</v>
      </c>
      <c r="Z34" s="173">
        <f>INDEX(Input!$C$46:$AM$58,MATCH($A34,Input!$A$46:$A$58,0),MATCH(Z$13,Input!$C$45:$AM$45,0))</f>
        <v>0</v>
      </c>
      <c r="AA34" s="31">
        <f>IF(VLOOKUP($A34,Input!$A$46:$B$58,2,FALSE)="Percentage",AB$22,IF(VLOOKUP($A34,Input!$A$46:$B$58,2,FALSE)="Fixed","Fixed",(AA$22)))</f>
        <v>11</v>
      </c>
      <c r="AB34" s="25">
        <f t="shared" si="18"/>
        <v>0</v>
      </c>
      <c r="AD34" s="173">
        <f>INDEX(Input!$C$46:$AM$58,MATCH($A34,Input!$A$46:$A$58,0),MATCH(AD$13,Input!$C$45:$AM$45,0))</f>
        <v>0</v>
      </c>
      <c r="AE34" s="31">
        <f>IF(VLOOKUP($A34,Input!$A$46:$B$58,2,FALSE)="Percentage",AF$22,IF(VLOOKUP($A34,Input!$A$46:$B$58,2,FALSE)="Fixed","Fixed",(AE$22)))</f>
        <v>11</v>
      </c>
      <c r="AF34" s="25">
        <f t="shared" si="19"/>
        <v>0</v>
      </c>
      <c r="AH34" s="173">
        <f>INDEX(Input!$C$46:$AM$58,MATCH($A34,Input!$A$46:$A$58,0),MATCH(AH$13,Input!$C$45:$AM$45,0))</f>
        <v>0</v>
      </c>
      <c r="AI34" s="31">
        <f>IF(VLOOKUP($A34,Input!$A$46:$B$58,2,FALSE)="Percentage",AJ$22,IF(VLOOKUP($A34,Input!$A$46:$B$58,2,FALSE)="Fixed","Fixed",(AI$22)))</f>
        <v>11</v>
      </c>
      <c r="AJ34" s="25">
        <f t="shared" si="20"/>
        <v>0</v>
      </c>
      <c r="AL34" s="173">
        <f>INDEX(Input!$C$46:$AM$58,MATCH($A34,Input!$A$46:$A$58,0),MATCH(AL$13,Input!$C$45:$AM$45,0))</f>
        <v>0</v>
      </c>
      <c r="AM34" s="31">
        <f>IF(VLOOKUP($A34,Input!$A$46:$B$58,2,FALSE)="Percentage",AN$22,IF(VLOOKUP($A34,Input!$A$46:$B$58,2,FALSE)="Fixed","Fixed",(AM$22)))</f>
        <v>11</v>
      </c>
      <c r="AN34" s="25">
        <f t="shared" si="21"/>
        <v>0</v>
      </c>
      <c r="AP34" s="173">
        <f>INDEX(Input!$C$46:$AM$58,MATCH($A34,Input!$A$46:$A$58,0),MATCH(AP$13,Input!$C$45:$AM$45,0))</f>
        <v>0</v>
      </c>
      <c r="AQ34" s="31">
        <f>IF(VLOOKUP($A34,Input!$A$46:$B$58,2,FALSE)="Percentage",AR$22,IF(VLOOKUP($A34,Input!$A$46:$B$58,2,FALSE)="Fixed","Fixed",(AQ$22)))</f>
        <v>11</v>
      </c>
      <c r="AR34" s="25">
        <f t="shared" si="22"/>
        <v>0</v>
      </c>
      <c r="AS34" s="30"/>
      <c r="AT34" s="173">
        <f>INDEX(Input!$C$46:$AM$58,MATCH($A34,Input!$A$46:$A$58,0),MATCH(AT$13,Input!$C$45:$AM$45,0))</f>
        <v>0</v>
      </c>
      <c r="AU34" s="31">
        <f>IF(VLOOKUP($A34,Input!$A$46:$B$58,2,FALSE)="Percentage",AV$22,IF(VLOOKUP($A34,Input!$A$46:$B$58,2,FALSE)="Fixed","Fixed",(AU$22)))</f>
        <v>11</v>
      </c>
      <c r="AV34" s="25">
        <f t="shared" si="23"/>
        <v>0</v>
      </c>
    </row>
    <row r="35" spans="1:48" x14ac:dyDescent="0.55000000000000004">
      <c r="A35">
        <f>Input!A56</f>
        <v>0</v>
      </c>
      <c r="B35" s="173">
        <f>INDEX(Input!$C$46:$AM$58,MATCH($A35,Input!$A$46:$A$58,0),MATCH(B$13,Input!$C$45:$AM$45,0))</f>
        <v>0</v>
      </c>
      <c r="C35" s="31">
        <f>IF(VLOOKUP($A35,Input!$A$46:$B$58,2,FALSE)="Percentage",D$22,IF(VLOOKUP($A35,Input!$A$46:$B$58,2,FALSE)="Fixed","Fixed",(C$22)))</f>
        <v>11</v>
      </c>
      <c r="D35" s="25">
        <f t="shared" si="12"/>
        <v>0</v>
      </c>
      <c r="F35" s="173">
        <f>INDEX(Input!$C$46:$AM$58,MATCH($A35,Input!$A$46:$A$58,0),MATCH(F$13,Input!$C$45:$AM$45,0))</f>
        <v>0</v>
      </c>
      <c r="G35" s="31">
        <f>IF(VLOOKUP($A35,Input!$A$46:$B$58,2,FALSE)="Percentage",H$22,IF(VLOOKUP($A35,Input!$A$46:$B$58,2,FALSE)="Fixed","Fixed",(G$22)))</f>
        <v>11</v>
      </c>
      <c r="H35" s="25">
        <f t="shared" si="13"/>
        <v>0</v>
      </c>
      <c r="J35" s="173">
        <f>INDEX(Input!$C$46:$AM$58,MATCH($A35,Input!$A$46:$A$58,0),MATCH(J$13,Input!$C$45:$AM$45,0))</f>
        <v>0</v>
      </c>
      <c r="K35" s="31">
        <f>IF(VLOOKUP($A35,Input!$A$46:$B$58,2,FALSE)="Percentage",L$22,IF(VLOOKUP($A35,Input!$A$46:$B$58,2,FALSE)="Fixed","Fixed",(K$22)))</f>
        <v>11</v>
      </c>
      <c r="L35" s="25">
        <f t="shared" si="14"/>
        <v>0</v>
      </c>
      <c r="N35" s="173">
        <f>INDEX(Input!$C$46:$AM$58,MATCH($A35,Input!$A$46:$A$58,0),MATCH(N$13,Input!$C$45:$AM$45,0))</f>
        <v>0</v>
      </c>
      <c r="O35" s="31">
        <f>IF(VLOOKUP($A35,Input!$A$46:$B$58,2,FALSE)="Percentage",P$22,IF(VLOOKUP($A35,Input!$A$46:$B$58,2,FALSE)="Fixed","Fixed",(O$22)))</f>
        <v>11</v>
      </c>
      <c r="P35" s="25">
        <f t="shared" si="15"/>
        <v>0</v>
      </c>
      <c r="R35" s="173">
        <f>INDEX(Input!$C$46:$AM$58,MATCH($A35,Input!$A$46:$A$58,0),MATCH(R$13,Input!$C$45:$AM$45,0))</f>
        <v>0</v>
      </c>
      <c r="S35" s="31">
        <f>IF(VLOOKUP($A35,Input!$A$46:$B$58,2,FALSE)="Percentage",T$22,IF(VLOOKUP($A35,Input!$A$46:$B$58,2,FALSE)="Fixed","Fixed",(S$22)))</f>
        <v>11</v>
      </c>
      <c r="T35" s="25">
        <f t="shared" si="16"/>
        <v>0</v>
      </c>
      <c r="V35" s="173">
        <f>INDEX(Input!$C$46:$AM$58,MATCH($A35,Input!$A$46:$A$58,0),MATCH(V$13,Input!$C$45:$AM$45,0))</f>
        <v>0</v>
      </c>
      <c r="W35" s="31">
        <f>IF(VLOOKUP($A35,Input!$A$46:$B$58,2,FALSE)="Percentage",X$22,IF(VLOOKUP($A35,Input!$A$46:$B$58,2,FALSE)="Fixed","Fixed",(W$22)))</f>
        <v>11</v>
      </c>
      <c r="X35" s="25">
        <f t="shared" si="17"/>
        <v>0</v>
      </c>
      <c r="Z35" s="173">
        <f>INDEX(Input!$C$46:$AM$58,MATCH($A35,Input!$A$46:$A$58,0),MATCH(Z$13,Input!$C$45:$AM$45,0))</f>
        <v>0</v>
      </c>
      <c r="AA35" s="31">
        <f>IF(VLOOKUP($A35,Input!$A$46:$B$58,2,FALSE)="Percentage",AB$22,IF(VLOOKUP($A35,Input!$A$46:$B$58,2,FALSE)="Fixed","Fixed",(AA$22)))</f>
        <v>11</v>
      </c>
      <c r="AB35" s="25">
        <f t="shared" si="18"/>
        <v>0</v>
      </c>
      <c r="AD35" s="173">
        <f>INDEX(Input!$C$46:$AM$58,MATCH($A35,Input!$A$46:$A$58,0),MATCH(AD$13,Input!$C$45:$AM$45,0))</f>
        <v>0</v>
      </c>
      <c r="AE35" s="31">
        <f>IF(VLOOKUP($A35,Input!$A$46:$B$58,2,FALSE)="Percentage",AF$22,IF(VLOOKUP($A35,Input!$A$46:$B$58,2,FALSE)="Fixed","Fixed",(AE$22)))</f>
        <v>11</v>
      </c>
      <c r="AF35" s="25">
        <f t="shared" si="19"/>
        <v>0</v>
      </c>
      <c r="AH35" s="173">
        <f>INDEX(Input!$C$46:$AM$58,MATCH($A35,Input!$A$46:$A$58,0),MATCH(AH$13,Input!$C$45:$AM$45,0))</f>
        <v>0</v>
      </c>
      <c r="AI35" s="31">
        <f>IF(VLOOKUP($A35,Input!$A$46:$B$58,2,FALSE)="Percentage",AJ$22,IF(VLOOKUP($A35,Input!$A$46:$B$58,2,FALSE)="Fixed","Fixed",(AI$22)))</f>
        <v>11</v>
      </c>
      <c r="AJ35" s="25">
        <f t="shared" si="20"/>
        <v>0</v>
      </c>
      <c r="AL35" s="173">
        <f>INDEX(Input!$C$46:$AM$58,MATCH($A35,Input!$A$46:$A$58,0),MATCH(AL$13,Input!$C$45:$AM$45,0))</f>
        <v>0</v>
      </c>
      <c r="AM35" s="31">
        <f>IF(VLOOKUP($A35,Input!$A$46:$B$58,2,FALSE)="Percentage",AN$22,IF(VLOOKUP($A35,Input!$A$46:$B$58,2,FALSE)="Fixed","Fixed",(AM$22)))</f>
        <v>11</v>
      </c>
      <c r="AN35" s="25">
        <f t="shared" si="21"/>
        <v>0</v>
      </c>
      <c r="AP35" s="173">
        <f>INDEX(Input!$C$46:$AM$58,MATCH($A35,Input!$A$46:$A$58,0),MATCH(AP$13,Input!$C$45:$AM$45,0))</f>
        <v>0</v>
      </c>
      <c r="AQ35" s="31">
        <f>IF(VLOOKUP($A35,Input!$A$46:$B$58,2,FALSE)="Percentage",AR$22,IF(VLOOKUP($A35,Input!$A$46:$B$58,2,FALSE)="Fixed","Fixed",(AQ$22)))</f>
        <v>11</v>
      </c>
      <c r="AR35" s="25">
        <f t="shared" si="22"/>
        <v>0</v>
      </c>
      <c r="AS35" s="30"/>
      <c r="AT35" s="173">
        <f>INDEX(Input!$C$46:$AM$58,MATCH($A35,Input!$A$46:$A$58,0),MATCH(AT$13,Input!$C$45:$AM$45,0))</f>
        <v>0</v>
      </c>
      <c r="AU35" s="31">
        <f>IF(VLOOKUP($A35,Input!$A$46:$B$58,2,FALSE)="Percentage",AV$22,IF(VLOOKUP($A35,Input!$A$46:$B$58,2,FALSE)="Fixed","Fixed",(AU$22)))</f>
        <v>11</v>
      </c>
      <c r="AV35" s="25">
        <f t="shared" si="23"/>
        <v>0</v>
      </c>
    </row>
    <row r="36" spans="1:48" x14ac:dyDescent="0.55000000000000004">
      <c r="A36">
        <f>Input!A57</f>
        <v>0</v>
      </c>
      <c r="B36" s="173">
        <f>INDEX(Input!$C$46:$AM$58,MATCH($A36,Input!$A$46:$A$58,0),MATCH(B$13,Input!$C$45:$AM$45,0))</f>
        <v>0</v>
      </c>
      <c r="C36" s="31">
        <f>IF(VLOOKUP($A36,Input!$A$46:$B$58,2,FALSE)="Percentage",D$22,IF(VLOOKUP($A36,Input!$A$46:$B$58,2,FALSE)="Fixed","Fixed",(C$22)))</f>
        <v>11</v>
      </c>
      <c r="D36" s="25">
        <f t="shared" si="12"/>
        <v>0</v>
      </c>
      <c r="F36" s="173">
        <f>INDEX(Input!$C$46:$AM$58,MATCH($A36,Input!$A$46:$A$58,0),MATCH(F$13,Input!$C$45:$AM$45,0))</f>
        <v>0</v>
      </c>
      <c r="G36" s="31">
        <f>IF(VLOOKUP($A36,Input!$A$46:$B$58,2,FALSE)="Percentage",H$22,IF(VLOOKUP($A36,Input!$A$46:$B$58,2,FALSE)="Fixed","Fixed",(G$22)))</f>
        <v>11</v>
      </c>
      <c r="H36" s="25">
        <f t="shared" si="13"/>
        <v>0</v>
      </c>
      <c r="J36" s="173">
        <f>INDEX(Input!$C$46:$AM$58,MATCH($A36,Input!$A$46:$A$58,0),MATCH(J$13,Input!$C$45:$AM$45,0))</f>
        <v>0</v>
      </c>
      <c r="K36" s="31">
        <f>IF(VLOOKUP($A36,Input!$A$46:$B$58,2,FALSE)="Percentage",L$22,IF(VLOOKUP($A36,Input!$A$46:$B$58,2,FALSE)="Fixed","Fixed",(K$22)))</f>
        <v>11</v>
      </c>
      <c r="L36" s="25">
        <f t="shared" si="14"/>
        <v>0</v>
      </c>
      <c r="N36" s="173">
        <f>INDEX(Input!$C$46:$AM$58,MATCH($A36,Input!$A$46:$A$58,0),MATCH(N$13,Input!$C$45:$AM$45,0))</f>
        <v>0</v>
      </c>
      <c r="O36" s="31">
        <f>IF(VLOOKUP($A36,Input!$A$46:$B$58,2,FALSE)="Percentage",P$22,IF(VLOOKUP($A36,Input!$A$46:$B$58,2,FALSE)="Fixed","Fixed",(O$22)))</f>
        <v>11</v>
      </c>
      <c r="P36" s="25">
        <f t="shared" si="15"/>
        <v>0</v>
      </c>
      <c r="R36" s="173">
        <f>INDEX(Input!$C$46:$AM$58,MATCH($A36,Input!$A$46:$A$58,0),MATCH(R$13,Input!$C$45:$AM$45,0))</f>
        <v>0</v>
      </c>
      <c r="S36" s="31">
        <f>IF(VLOOKUP($A36,Input!$A$46:$B$58,2,FALSE)="Percentage",T$22,IF(VLOOKUP($A36,Input!$A$46:$B$58,2,FALSE)="Fixed","Fixed",(S$22)))</f>
        <v>11</v>
      </c>
      <c r="T36" s="25">
        <f t="shared" si="16"/>
        <v>0</v>
      </c>
      <c r="V36" s="173">
        <f>INDEX(Input!$C$46:$AM$58,MATCH($A36,Input!$A$46:$A$58,0),MATCH(V$13,Input!$C$45:$AM$45,0))</f>
        <v>0</v>
      </c>
      <c r="W36" s="31">
        <f>IF(VLOOKUP($A36,Input!$A$46:$B$58,2,FALSE)="Percentage",X$22,IF(VLOOKUP($A36,Input!$A$46:$B$58,2,FALSE)="Fixed","Fixed",(W$22)))</f>
        <v>11</v>
      </c>
      <c r="X36" s="25">
        <f t="shared" si="17"/>
        <v>0</v>
      </c>
      <c r="Z36" s="173">
        <f>INDEX(Input!$C$46:$AM$58,MATCH($A36,Input!$A$46:$A$58,0),MATCH(Z$13,Input!$C$45:$AM$45,0))</f>
        <v>0</v>
      </c>
      <c r="AA36" s="31">
        <f>IF(VLOOKUP($A36,Input!$A$46:$B$58,2,FALSE)="Percentage",AB$22,IF(VLOOKUP($A36,Input!$A$46:$B$58,2,FALSE)="Fixed","Fixed",(AA$22)))</f>
        <v>11</v>
      </c>
      <c r="AB36" s="25">
        <f t="shared" si="18"/>
        <v>0</v>
      </c>
      <c r="AD36" s="173">
        <f>INDEX(Input!$C$46:$AM$58,MATCH($A36,Input!$A$46:$A$58,0),MATCH(AD$13,Input!$C$45:$AM$45,0))</f>
        <v>0</v>
      </c>
      <c r="AE36" s="31">
        <f>IF(VLOOKUP($A36,Input!$A$46:$B$58,2,FALSE)="Percentage",AF$22,IF(VLOOKUP($A36,Input!$A$46:$B$58,2,FALSE)="Fixed","Fixed",(AE$22)))</f>
        <v>11</v>
      </c>
      <c r="AF36" s="25">
        <f t="shared" si="19"/>
        <v>0</v>
      </c>
      <c r="AH36" s="173">
        <f>INDEX(Input!$C$46:$AM$58,MATCH($A36,Input!$A$46:$A$58,0),MATCH(AH$13,Input!$C$45:$AM$45,0))</f>
        <v>0</v>
      </c>
      <c r="AI36" s="31">
        <f>IF(VLOOKUP($A36,Input!$A$46:$B$58,2,FALSE)="Percentage",AJ$22,IF(VLOOKUP($A36,Input!$A$46:$B$58,2,FALSE)="Fixed","Fixed",(AI$22)))</f>
        <v>11</v>
      </c>
      <c r="AJ36" s="25">
        <f t="shared" si="20"/>
        <v>0</v>
      </c>
      <c r="AL36" s="173">
        <f>INDEX(Input!$C$46:$AM$58,MATCH($A36,Input!$A$46:$A$58,0),MATCH(AL$13,Input!$C$45:$AM$45,0))</f>
        <v>0</v>
      </c>
      <c r="AM36" s="31">
        <f>IF(VLOOKUP($A36,Input!$A$46:$B$58,2,FALSE)="Percentage",AN$22,IF(VLOOKUP($A36,Input!$A$46:$B$58,2,FALSE)="Fixed","Fixed",(AM$22)))</f>
        <v>11</v>
      </c>
      <c r="AN36" s="25">
        <f t="shared" si="21"/>
        <v>0</v>
      </c>
      <c r="AP36" s="173">
        <f>INDEX(Input!$C$46:$AM$58,MATCH($A36,Input!$A$46:$A$58,0),MATCH(AP$13,Input!$C$45:$AM$45,0))</f>
        <v>0</v>
      </c>
      <c r="AQ36" s="31">
        <f>IF(VLOOKUP($A36,Input!$A$46:$B$58,2,FALSE)="Percentage",AR$22,IF(VLOOKUP($A36,Input!$A$46:$B$58,2,FALSE)="Fixed","Fixed",(AQ$22)))</f>
        <v>11</v>
      </c>
      <c r="AR36" s="25">
        <f t="shared" si="22"/>
        <v>0</v>
      </c>
      <c r="AS36" s="30"/>
      <c r="AT36" s="173">
        <f>INDEX(Input!$C$46:$AM$58,MATCH($A36,Input!$A$46:$A$58,0),MATCH(AT$13,Input!$C$45:$AM$45,0))</f>
        <v>0</v>
      </c>
      <c r="AU36" s="31">
        <f>IF(VLOOKUP($A36,Input!$A$46:$B$58,2,FALSE)="Percentage",AV$22,IF(VLOOKUP($A36,Input!$A$46:$B$58,2,FALSE)="Fixed","Fixed",(AU$22)))</f>
        <v>11</v>
      </c>
      <c r="AV36" s="25">
        <f t="shared" si="23"/>
        <v>0</v>
      </c>
    </row>
    <row r="37" spans="1:48" x14ac:dyDescent="0.55000000000000004">
      <c r="A37">
        <f>Input!A58</f>
        <v>0</v>
      </c>
      <c r="B37" s="173">
        <f>INDEX(Input!$C$46:$AM$58,MATCH($A37,Input!$A$46:$A$58,0),MATCH(B$13,Input!$C$45:$AM$45,0))</f>
        <v>0</v>
      </c>
      <c r="C37" s="31">
        <f>IF(VLOOKUP($A37,Input!$A$46:$B$58,2,FALSE)="Percentage",D$22,IF(VLOOKUP($A37,Input!$A$46:$B$58,2,FALSE)="Fixed","Fixed",(C$22)))</f>
        <v>11</v>
      </c>
      <c r="D37" s="25">
        <f t="shared" si="12"/>
        <v>0</v>
      </c>
      <c r="F37" s="173">
        <f>INDEX(Input!$C$46:$AM$58,MATCH($A37,Input!$A$46:$A$58,0),MATCH(F$13,Input!$C$45:$AM$45,0))</f>
        <v>0</v>
      </c>
      <c r="G37" s="31">
        <f>IF(VLOOKUP($A37,Input!$A$46:$B$58,2,FALSE)="Percentage",H$22,IF(VLOOKUP($A37,Input!$A$46:$B$58,2,FALSE)="Fixed","Fixed",(G$22)))</f>
        <v>11</v>
      </c>
      <c r="H37" s="25">
        <f t="shared" si="13"/>
        <v>0</v>
      </c>
      <c r="J37" s="173">
        <f>INDEX(Input!$C$46:$AM$58,MATCH($A37,Input!$A$46:$A$58,0),MATCH(J$13,Input!$C$45:$AM$45,0))</f>
        <v>0</v>
      </c>
      <c r="K37" s="31">
        <f>IF(VLOOKUP($A37,Input!$A$46:$B$58,2,FALSE)="Percentage",L$22,IF(VLOOKUP($A37,Input!$A$46:$B$58,2,FALSE)="Fixed","Fixed",(K$22)))</f>
        <v>11</v>
      </c>
      <c r="L37" s="25">
        <f t="shared" si="14"/>
        <v>0</v>
      </c>
      <c r="N37" s="173">
        <f>INDEX(Input!$C$46:$AM$58,MATCH($A37,Input!$A$46:$A$58,0),MATCH(N$13,Input!$C$45:$AM$45,0))</f>
        <v>0</v>
      </c>
      <c r="O37" s="31">
        <f>IF(VLOOKUP($A37,Input!$A$46:$B$58,2,FALSE)="Percentage",P$22,IF(VLOOKUP($A37,Input!$A$46:$B$58,2,FALSE)="Fixed","Fixed",(O$22)))</f>
        <v>11</v>
      </c>
      <c r="P37" s="25">
        <f t="shared" si="15"/>
        <v>0</v>
      </c>
      <c r="R37" s="173">
        <f>INDEX(Input!$C$46:$AM$58,MATCH($A37,Input!$A$46:$A$58,0),MATCH(R$13,Input!$C$45:$AM$45,0))</f>
        <v>0</v>
      </c>
      <c r="S37" s="31">
        <f>IF(VLOOKUP($A37,Input!$A$46:$B$58,2,FALSE)="Percentage",T$22,IF(VLOOKUP($A37,Input!$A$46:$B$58,2,FALSE)="Fixed","Fixed",(S$22)))</f>
        <v>11</v>
      </c>
      <c r="T37" s="25">
        <f t="shared" si="16"/>
        <v>0</v>
      </c>
      <c r="V37" s="173">
        <f>INDEX(Input!$C$46:$AM$58,MATCH($A37,Input!$A$46:$A$58,0),MATCH(V$13,Input!$C$45:$AM$45,0))</f>
        <v>0</v>
      </c>
      <c r="W37" s="31">
        <f>IF(VLOOKUP($A37,Input!$A$46:$B$58,2,FALSE)="Percentage",X$22,IF(VLOOKUP($A37,Input!$A$46:$B$58,2,FALSE)="Fixed","Fixed",(W$22)))</f>
        <v>11</v>
      </c>
      <c r="X37" s="25">
        <f t="shared" si="17"/>
        <v>0</v>
      </c>
      <c r="Z37" s="173">
        <f>INDEX(Input!$C$46:$AM$58,MATCH($A37,Input!$A$46:$A$58,0),MATCH(Z$13,Input!$C$45:$AM$45,0))</f>
        <v>0</v>
      </c>
      <c r="AA37" s="31">
        <f>IF(VLOOKUP($A37,Input!$A$46:$B$58,2,FALSE)="Percentage",AB$22,IF(VLOOKUP($A37,Input!$A$46:$B$58,2,FALSE)="Fixed","Fixed",(AA$22)))</f>
        <v>11</v>
      </c>
      <c r="AB37" s="25">
        <f t="shared" si="18"/>
        <v>0</v>
      </c>
      <c r="AD37" s="173">
        <f>INDEX(Input!$C$46:$AM$58,MATCH($A37,Input!$A$46:$A$58,0),MATCH(AD$13,Input!$C$45:$AM$45,0))</f>
        <v>0</v>
      </c>
      <c r="AE37" s="31">
        <f>IF(VLOOKUP($A37,Input!$A$46:$B$58,2,FALSE)="Percentage",AF$22,IF(VLOOKUP($A37,Input!$A$46:$B$58,2,FALSE)="Fixed","Fixed",(AE$22)))</f>
        <v>11</v>
      </c>
      <c r="AF37" s="25">
        <f t="shared" si="19"/>
        <v>0</v>
      </c>
      <c r="AH37" s="173">
        <f>INDEX(Input!$C$46:$AM$58,MATCH($A37,Input!$A$46:$A$58,0),MATCH(AH$13,Input!$C$45:$AM$45,0))</f>
        <v>0</v>
      </c>
      <c r="AI37" s="31">
        <f>IF(VLOOKUP($A37,Input!$A$46:$B$58,2,FALSE)="Percentage",AJ$22,IF(VLOOKUP($A37,Input!$A$46:$B$58,2,FALSE)="Fixed","Fixed",(AI$22)))</f>
        <v>11</v>
      </c>
      <c r="AJ37" s="25">
        <f t="shared" si="20"/>
        <v>0</v>
      </c>
      <c r="AL37" s="173">
        <f>INDEX(Input!$C$46:$AM$58,MATCH($A37,Input!$A$46:$A$58,0),MATCH(AL$13,Input!$C$45:$AM$45,0))</f>
        <v>0</v>
      </c>
      <c r="AM37" s="31">
        <f>IF(VLOOKUP($A37,Input!$A$46:$B$58,2,FALSE)="Percentage",AN$22,IF(VLOOKUP($A37,Input!$A$46:$B$58,2,FALSE)="Fixed","Fixed",(AM$22)))</f>
        <v>11</v>
      </c>
      <c r="AN37" s="25">
        <f t="shared" si="21"/>
        <v>0</v>
      </c>
      <c r="AP37" s="173">
        <f>INDEX(Input!$C$46:$AM$58,MATCH($A37,Input!$A$46:$A$58,0),MATCH(AP$13,Input!$C$45:$AM$45,0))</f>
        <v>0</v>
      </c>
      <c r="AQ37" s="31">
        <f>IF(VLOOKUP($A37,Input!$A$46:$B$58,2,FALSE)="Percentage",AR$22,IF(VLOOKUP($A37,Input!$A$46:$B$58,2,FALSE)="Fixed","Fixed",(AQ$22)))</f>
        <v>11</v>
      </c>
      <c r="AR37" s="25">
        <f t="shared" si="22"/>
        <v>0</v>
      </c>
      <c r="AS37" s="30"/>
      <c r="AT37" s="173">
        <f>INDEX(Input!$C$46:$AM$58,MATCH($A37,Input!$A$46:$A$58,0),MATCH(AT$13,Input!$C$45:$AM$45,0))</f>
        <v>0</v>
      </c>
      <c r="AU37" s="31">
        <f>IF(VLOOKUP($A37,Input!$A$46:$B$58,2,FALSE)="Percentage",AV$22,IF(VLOOKUP($A37,Input!$A$46:$B$58,2,FALSE)="Fixed","Fixed",(AU$22)))</f>
        <v>11</v>
      </c>
      <c r="AV37" s="25">
        <f t="shared" si="23"/>
        <v>0</v>
      </c>
    </row>
    <row r="38" spans="1:48" x14ac:dyDescent="0.55000000000000004">
      <c r="A38" t="s">
        <v>39</v>
      </c>
      <c r="B38" s="16"/>
      <c r="C38" s="17"/>
      <c r="D38" s="26">
        <f>SUM(D25:D37)</f>
        <v>1.61</v>
      </c>
      <c r="F38" s="16"/>
      <c r="G38" s="17"/>
      <c r="H38" s="26">
        <f>SUM(H25:H37)</f>
        <v>1.61</v>
      </c>
      <c r="J38" s="16"/>
      <c r="K38" s="17"/>
      <c r="L38" s="26">
        <f>SUM(L25:L37)</f>
        <v>1.61</v>
      </c>
      <c r="N38" s="16"/>
      <c r="O38" s="17"/>
      <c r="P38" s="26">
        <f>SUM(P25:P37)</f>
        <v>1.61</v>
      </c>
      <c r="R38" s="16"/>
      <c r="S38" s="17"/>
      <c r="T38" s="26">
        <f>SUM(T25:T37)</f>
        <v>1.61</v>
      </c>
      <c r="V38" s="16"/>
      <c r="W38" s="17"/>
      <c r="X38" s="26">
        <f>SUM(X25:X37)</f>
        <v>1.61</v>
      </c>
      <c r="Z38" s="16"/>
      <c r="AA38" s="17"/>
      <c r="AB38" s="26">
        <f>SUM(AB25:AB37)</f>
        <v>1.61</v>
      </c>
      <c r="AD38" s="16"/>
      <c r="AE38" s="17"/>
      <c r="AF38" s="26">
        <f>SUM(AF25:AF37)</f>
        <v>1.61</v>
      </c>
      <c r="AH38" s="16"/>
      <c r="AI38" s="17"/>
      <c r="AJ38" s="26">
        <f>SUM(AJ25:AJ37)</f>
        <v>1.61</v>
      </c>
      <c r="AL38" s="16"/>
      <c r="AM38" s="17"/>
      <c r="AN38" s="26">
        <f>SUM(AN25:AN37)</f>
        <v>1.61</v>
      </c>
      <c r="AP38" s="16"/>
      <c r="AQ38" s="17"/>
      <c r="AR38" s="26">
        <f>SUM(AR25:AR37)</f>
        <v>1.61</v>
      </c>
      <c r="AS38" s="64"/>
      <c r="AT38" s="16"/>
      <c r="AU38" s="17"/>
      <c r="AV38" s="26">
        <f>SUM(AV25:AV37)</f>
        <v>1.61</v>
      </c>
    </row>
    <row r="39" spans="1:48" x14ac:dyDescent="0.55000000000000004">
      <c r="B39" s="16"/>
      <c r="C39" s="17"/>
      <c r="D39" s="19"/>
      <c r="F39" s="16"/>
      <c r="G39" s="17"/>
      <c r="H39" s="19"/>
      <c r="J39" s="16"/>
      <c r="K39" s="17"/>
      <c r="L39" s="19"/>
      <c r="N39" s="16"/>
      <c r="O39" s="17"/>
      <c r="P39" s="19"/>
      <c r="R39" s="16"/>
      <c r="S39" s="17"/>
      <c r="T39" s="19"/>
      <c r="V39" s="16"/>
      <c r="W39" s="17"/>
      <c r="X39" s="19"/>
      <c r="Z39" s="16"/>
      <c r="AA39" s="17"/>
      <c r="AB39" s="19"/>
      <c r="AD39" s="16"/>
      <c r="AE39" s="17"/>
      <c r="AF39" s="19"/>
      <c r="AH39" s="16"/>
      <c r="AI39" s="17"/>
      <c r="AJ39" s="19"/>
      <c r="AL39" s="16"/>
      <c r="AM39" s="17"/>
      <c r="AN39" s="19"/>
      <c r="AP39" s="16"/>
      <c r="AQ39" s="17"/>
      <c r="AR39" s="19"/>
      <c r="AS39" s="17"/>
      <c r="AT39" s="16"/>
      <c r="AU39" s="17"/>
      <c r="AV39" s="19"/>
    </row>
    <row r="40" spans="1:48" x14ac:dyDescent="0.55000000000000004">
      <c r="A40" s="1" t="s">
        <v>35</v>
      </c>
      <c r="B40" s="20" t="s">
        <v>29</v>
      </c>
      <c r="C40" s="21" t="s">
        <v>45</v>
      </c>
      <c r="D40" s="22" t="s">
        <v>30</v>
      </c>
      <c r="F40" s="20" t="s">
        <v>29</v>
      </c>
      <c r="G40" s="21" t="s">
        <v>45</v>
      </c>
      <c r="H40" s="111" t="s">
        <v>30</v>
      </c>
      <c r="J40" s="20" t="s">
        <v>29</v>
      </c>
      <c r="K40" s="21" t="s">
        <v>45</v>
      </c>
      <c r="L40" s="111" t="s">
        <v>30</v>
      </c>
      <c r="N40" s="20" t="s">
        <v>29</v>
      </c>
      <c r="O40" s="21" t="s">
        <v>45</v>
      </c>
      <c r="P40" s="111" t="s">
        <v>30</v>
      </c>
      <c r="R40" s="20" t="s">
        <v>29</v>
      </c>
      <c r="S40" s="21" t="s">
        <v>45</v>
      </c>
      <c r="T40" s="111" t="s">
        <v>30</v>
      </c>
      <c r="V40" s="20" t="s">
        <v>29</v>
      </c>
      <c r="W40" s="21" t="s">
        <v>45</v>
      </c>
      <c r="X40" s="111" t="s">
        <v>30</v>
      </c>
      <c r="Z40" s="20" t="s">
        <v>29</v>
      </c>
      <c r="AA40" s="21" t="s">
        <v>45</v>
      </c>
      <c r="AB40" s="111" t="s">
        <v>30</v>
      </c>
      <c r="AD40" s="20" t="s">
        <v>29</v>
      </c>
      <c r="AE40" s="21" t="s">
        <v>45</v>
      </c>
      <c r="AF40" s="111" t="s">
        <v>30</v>
      </c>
      <c r="AH40" s="20" t="s">
        <v>29</v>
      </c>
      <c r="AI40" s="21" t="s">
        <v>45</v>
      </c>
      <c r="AJ40" s="111" t="s">
        <v>30</v>
      </c>
      <c r="AL40" s="20" t="s">
        <v>29</v>
      </c>
      <c r="AM40" s="21" t="s">
        <v>45</v>
      </c>
      <c r="AN40" s="111" t="s">
        <v>30</v>
      </c>
      <c r="AP40" s="20" t="s">
        <v>29</v>
      </c>
      <c r="AQ40" s="21" t="s">
        <v>45</v>
      </c>
      <c r="AR40" s="111" t="s">
        <v>30</v>
      </c>
      <c r="AS40" s="170"/>
      <c r="AT40" s="20" t="s">
        <v>29</v>
      </c>
      <c r="AU40" s="21" t="s">
        <v>45</v>
      </c>
      <c r="AV40" s="111" t="s">
        <v>30</v>
      </c>
    </row>
    <row r="41" spans="1:48" x14ac:dyDescent="0.55000000000000004">
      <c r="A41" t="str">
        <f>+Input!A77</f>
        <v>CPUC Fee</v>
      </c>
      <c r="B41" s="29">
        <f>INDEX(Input!$C$77:$AL$82,MATCH('Residential Bills_Yr 3_avg'!$A$41,Input!$A$77:$A$82,0),MATCH('Residential Bills_Yr 3_avg'!B13:D13,Input!$C$76:$AL$76,0))</f>
        <v>8.0000000000000002E-3</v>
      </c>
      <c r="C41" s="30">
        <f>D22+D38</f>
        <v>112.75477235659757</v>
      </c>
      <c r="D41" s="25">
        <f>ROUND(B41*C41,2)</f>
        <v>0.9</v>
      </c>
      <c r="F41" s="29">
        <f>INDEX(Input!$C$77:$AL$82,MATCH('Residential Bills_Yr 3_avg'!$A$41,Input!$A$77:$A$82,0),MATCH('Residential Bills_Yr 3_avg'!F13:H13,Input!$C$76:$AL$76,0))</f>
        <v>8.0000000000000002E-3</v>
      </c>
      <c r="G41" s="30">
        <f>H22+H38</f>
        <v>112.75477235659757</v>
      </c>
      <c r="H41" s="25">
        <f>ROUND(F41*G41,2)</f>
        <v>0.9</v>
      </c>
      <c r="J41" s="29">
        <f>INDEX(Input!$C$77:$AL$82,MATCH('Residential Bills_Yr 3_avg'!$A$41,Input!$A$77:$A$82,0),MATCH('Residential Bills_Yr 3_avg'!J13:L13,Input!$C$76:$AL$76,0))</f>
        <v>8.0000000000000002E-3</v>
      </c>
      <c r="K41" s="30">
        <f>L22+L38</f>
        <v>112.75477235659757</v>
      </c>
      <c r="L41" s="25">
        <f>ROUND(J41*K41,2)</f>
        <v>0.9</v>
      </c>
      <c r="N41" s="29">
        <f>INDEX(Input!$C$77:$AL$82,MATCH('Residential Bills_Yr 3_avg'!$A$41,Input!$A$77:$A$82,0),MATCH('Residential Bills_Yr 3_avg'!N13:P13,Input!$C$76:$AL$76,0))</f>
        <v>8.0000000000000002E-3</v>
      </c>
      <c r="O41" s="30">
        <f>P22+P38</f>
        <v>112.75477235659757</v>
      </c>
      <c r="P41" s="25">
        <f>ROUND(N41*O41,2)</f>
        <v>0.9</v>
      </c>
      <c r="R41" s="29">
        <f>INDEX(Input!$C$77:$AL$82,MATCH('Residential Bills_Yr 3_avg'!$A$41,Input!$A$77:$A$82,0),MATCH('Residential Bills_Yr 3_avg'!R13:T13,Input!$C$76:$AL$76,0))</f>
        <v>8.0000000000000002E-3</v>
      </c>
      <c r="S41" s="30">
        <f>T22+T38</f>
        <v>112.75477235659757</v>
      </c>
      <c r="T41" s="25">
        <f>ROUND(R41*S41,2)</f>
        <v>0.9</v>
      </c>
      <c r="V41" s="29">
        <f>INDEX(Input!$C$77:$AL$82,MATCH('Residential Bills_Yr 3_avg'!$A$41,Input!$A$77:$A$82,0),MATCH('Residential Bills_Yr 3_avg'!V13:X13,Input!$C$76:$AL$76,0))</f>
        <v>8.0000000000000002E-3</v>
      </c>
      <c r="W41" s="30">
        <f>X22+X38</f>
        <v>112.75477235659757</v>
      </c>
      <c r="X41" s="25">
        <f>ROUND(V41*W41,2)</f>
        <v>0.9</v>
      </c>
      <c r="Z41" s="29">
        <f>INDEX(Input!$C$77:$AL$82,MATCH('Residential Bills_Yr 3_avg'!$A$41,Input!$A$77:$A$82,0),MATCH('Residential Bills_Yr 3_avg'!Z13:AB13,Input!$C$76:$AL$76,0))</f>
        <v>8.0000000000000002E-3</v>
      </c>
      <c r="AA41" s="30">
        <f>AB22+AB38</f>
        <v>112.75477235659757</v>
      </c>
      <c r="AB41" s="25">
        <f>ROUND(Z41*AA41,2)</f>
        <v>0.9</v>
      </c>
      <c r="AD41" s="29">
        <f>INDEX(Input!$C$77:$AL$82,MATCH('Residential Bills_Yr 3_avg'!$A$41,Input!$A$77:$A$82,0),MATCH('Residential Bills_Yr 3_avg'!AD13:AF13,Input!$C$76:$AL$76,0))</f>
        <v>8.0000000000000002E-3</v>
      </c>
      <c r="AE41" s="30">
        <f>AF22+AF38</f>
        <v>112.75477235659757</v>
      </c>
      <c r="AF41" s="25">
        <f>ROUND(AD41*AE41,2)</f>
        <v>0.9</v>
      </c>
      <c r="AH41" s="29">
        <f>INDEX(Input!$C$77:$AL$82,MATCH('Residential Bills_Yr 3_avg'!$A$41,Input!$A$77:$A$82,0),MATCH('Residential Bills_Yr 3_avg'!AH13:AJ13,Input!$C$76:$AL$76,0))</f>
        <v>8.0000000000000002E-3</v>
      </c>
      <c r="AI41" s="30">
        <f>AJ22+AJ38</f>
        <v>112.75477235659757</v>
      </c>
      <c r="AJ41" s="25">
        <f>ROUND(AH41*AI41,2)</f>
        <v>0.9</v>
      </c>
      <c r="AL41" s="29">
        <f>INDEX(Input!$C$77:$AL$82,MATCH('Residential Bills_Yr 3_avg'!$A$41,Input!$A$77:$A$82,0),MATCH('Residential Bills_Yr 3_avg'!AL13:AN13,Input!$C$76:$AL$76,0))</f>
        <v>8.0000000000000002E-3</v>
      </c>
      <c r="AM41" s="30">
        <f>AN22+AN38</f>
        <v>112.75477235659757</v>
      </c>
      <c r="AN41" s="25">
        <f>ROUND(AL41*AM41,2)</f>
        <v>0.9</v>
      </c>
      <c r="AP41" s="29">
        <f>INDEX(Input!$C$77:$AL$82,MATCH('Residential Bills_Yr 3_avg'!$A$41,Input!$A$77:$A$82,0),MATCH('Residential Bills_Yr 3_avg'!AP13:AR13,Input!$C$76:$AL$76,0))</f>
        <v>8.0000000000000002E-3</v>
      </c>
      <c r="AQ41" s="30">
        <f>AR22+AR38</f>
        <v>112.75477235659757</v>
      </c>
      <c r="AR41" s="25">
        <f>ROUND(AP41*AQ41,2)</f>
        <v>0.9</v>
      </c>
      <c r="AS41" s="30"/>
      <c r="AT41" s="29">
        <f>INDEX(Input!$C$77:$AL$82,MATCH('Residential Bills_Yr 3_avg'!$A$41,Input!$A$77:$A$82,0),MATCH('Residential Bills_Yr 3_avg'!AT13:AV13,Input!$C$76:$AL$76,0))</f>
        <v>8.0000000000000002E-3</v>
      </c>
      <c r="AU41" s="30">
        <f>AV22+AV38</f>
        <v>112.75477235659757</v>
      </c>
      <c r="AV41" s="25">
        <f>ROUND(AT41*AU41,2)</f>
        <v>0.9</v>
      </c>
    </row>
    <row r="42" spans="1:48" ht="14.5" customHeight="1" x14ac:dyDescent="0.55000000000000004">
      <c r="A42" t="str">
        <f>+Input!A78</f>
        <v>CSJ UTT</v>
      </c>
      <c r="B42" s="29">
        <f>INDEX(Input!$C$77:$AL$82,MATCH('Residential Bills_Yr 1_avg'!$A$42,Input!$A$77:$A$82,0),MATCH('Residential Bills_Yr 1_avg'!B13,Input!$C$76:$AL$76,0))</f>
        <v>0.05</v>
      </c>
      <c r="C42" s="30">
        <f>D22+D38+D41</f>
        <v>113.65477235659758</v>
      </c>
      <c r="D42" s="25">
        <f>ROUND(B42*C42,2)</f>
        <v>5.68</v>
      </c>
      <c r="F42" s="29">
        <f>INDEX(Input!$C$77:$AL$82,MATCH('Residential Bills_Yr 1_avg'!$A$42,Input!$A$77:$A$82,0),MATCH('Residential Bills_Yr 1_avg'!F13,Input!$C$76:$AL$76,0))</f>
        <v>0.05</v>
      </c>
      <c r="G42" s="30">
        <f>H22+H38+H41</f>
        <v>113.65477235659758</v>
      </c>
      <c r="H42" s="25">
        <f>ROUND(F42*G42,2)</f>
        <v>5.68</v>
      </c>
      <c r="J42" s="29">
        <f>INDEX(Input!$C$77:$AL$82,MATCH('Residential Bills_Yr 1_avg'!$A$42,Input!$A$77:$A$82,0),MATCH('Residential Bills_Yr 1_avg'!J13,Input!$C$76:$AL$76,0))</f>
        <v>0.05</v>
      </c>
      <c r="K42" s="30">
        <f>L22+L38+L41</f>
        <v>113.65477235659758</v>
      </c>
      <c r="L42" s="25">
        <f>ROUND(J42*K42,2)</f>
        <v>5.68</v>
      </c>
      <c r="N42" s="29">
        <f>INDEX(Input!$C$77:$AL$82,MATCH('Residential Bills_Yr 1_avg'!$A$42,Input!$A$77:$A$82,0),MATCH('Residential Bills_Yr 1_avg'!N13,Input!$C$76:$AL$76,0))</f>
        <v>0.05</v>
      </c>
      <c r="O42" s="30">
        <f>P22+P38+P41</f>
        <v>113.65477235659758</v>
      </c>
      <c r="P42" s="25">
        <f>ROUND(N42*O42,2)</f>
        <v>5.68</v>
      </c>
      <c r="R42" s="29">
        <f>INDEX(Input!$C$77:$AL$82,MATCH('Residential Bills_Yr 1_avg'!$A$42,Input!$A$77:$A$82,0),MATCH('Residential Bills_Yr 1_avg'!R13,Input!$C$76:$AL$76,0))</f>
        <v>0.05</v>
      </c>
      <c r="S42" s="30">
        <f>T22+T38+T41</f>
        <v>113.65477235659758</v>
      </c>
      <c r="T42" s="25">
        <f>ROUND(R42*S42,2)</f>
        <v>5.68</v>
      </c>
      <c r="V42" s="29">
        <f>INDEX(Input!$C$77:$AL$82,MATCH('Residential Bills_Yr 1_avg'!$A$42,Input!$A$77:$A$82,0),MATCH('Residential Bills_Yr 1_avg'!V13,Input!$C$76:$AL$76,0))</f>
        <v>0.05</v>
      </c>
      <c r="W42" s="30">
        <f>X22+X38+X41</f>
        <v>113.65477235659758</v>
      </c>
      <c r="X42" s="25">
        <f>ROUND(V42*W42,2)</f>
        <v>5.68</v>
      </c>
      <c r="Z42" s="29">
        <f>INDEX(Input!$C$77:$AL$82,MATCH('Residential Bills_Yr 1_avg'!$A$42,Input!$A$77:$A$82,0),MATCH('Residential Bills_Yr 1_avg'!Z13,Input!$C$76:$AL$76,0))</f>
        <v>0.05</v>
      </c>
      <c r="AA42" s="30">
        <f>AB22+AB38+AB41</f>
        <v>113.65477235659758</v>
      </c>
      <c r="AB42" s="25">
        <f>ROUND(Z42*AA42,2)</f>
        <v>5.68</v>
      </c>
      <c r="AD42" s="29">
        <f>INDEX(Input!$C$77:$AL$82,MATCH('Residential Bills_Yr 1_avg'!$A$42,Input!$A$77:$A$82,0),MATCH('Residential Bills_Yr 1_avg'!AD13,Input!$C$76:$AL$76,0))</f>
        <v>0.05</v>
      </c>
      <c r="AE42" s="30">
        <f>AF22+AF38+AF41</f>
        <v>113.65477235659758</v>
      </c>
      <c r="AF42" s="25">
        <f>ROUND(AD42*AE42,2)</f>
        <v>5.68</v>
      </c>
      <c r="AH42" s="29">
        <f>INDEX(Input!$C$77:$AL$82,MATCH('Residential Bills_Yr 1_avg'!$A$42,Input!$A$77:$A$82,0),MATCH('Residential Bills_Yr 1_avg'!AH13,Input!$C$76:$AL$76,0))</f>
        <v>0.05</v>
      </c>
      <c r="AI42" s="30">
        <f>AJ22+AJ38+AJ41</f>
        <v>113.65477235659758</v>
      </c>
      <c r="AJ42" s="25">
        <f>ROUND(AH42*AI42,2)</f>
        <v>5.68</v>
      </c>
      <c r="AL42" s="29">
        <f>INDEX(Input!$C$77:$AL$82,MATCH('Residential Bills_Yr 1_avg'!$A$42,Input!$A$77:$A$82,0),MATCH('Residential Bills_Yr 1_avg'!AL13,Input!$C$76:$AL$76,0))</f>
        <v>0.05</v>
      </c>
      <c r="AM42" s="30">
        <f>AN22+AN38+AN41</f>
        <v>113.65477235659758</v>
      </c>
      <c r="AN42" s="25">
        <f>ROUND(AL42*AM42,2)</f>
        <v>5.68</v>
      </c>
      <c r="AP42" s="29">
        <f>INDEX(Input!$C$77:$AL$82,MATCH('Residential Bills_Yr 1_avg'!$A$42,Input!$A$77:$A$82,0),MATCH('Residential Bills_Yr 1_avg'!AP13,Input!$C$76:$AL$76,0))</f>
        <v>0.05</v>
      </c>
      <c r="AQ42" s="30">
        <f>AR22+AR38+AR41</f>
        <v>113.65477235659758</v>
      </c>
      <c r="AR42" s="25">
        <f>ROUND(AP42*AQ42,2)</f>
        <v>5.68</v>
      </c>
      <c r="AS42" s="17"/>
      <c r="AT42" s="29">
        <f>INDEX(Input!$C$77:$AL$82,MATCH('Residential Bills_Yr 1_avg'!$A$42,Input!$A$77:$A$82,0),MATCH('Residential Bills_Yr 1_avg'!AT13,Input!$C$76:$AL$76,0))</f>
        <v>0.05</v>
      </c>
      <c r="AU42" s="30">
        <f>AV22+AV38+AV41</f>
        <v>113.65477235659758</v>
      </c>
      <c r="AV42" s="25">
        <f>ROUND(AT42*AU42,2)</f>
        <v>5.68</v>
      </c>
    </row>
    <row r="43" spans="1:48" ht="14.5" customHeight="1" x14ac:dyDescent="0.55000000000000004">
      <c r="A43" t="str">
        <f>+Input!A79</f>
        <v>Reserved</v>
      </c>
      <c r="B43" s="16"/>
      <c r="C43" s="17"/>
      <c r="D43" s="19"/>
      <c r="F43" s="16"/>
      <c r="G43" s="17"/>
      <c r="H43" s="19"/>
      <c r="J43" s="16"/>
      <c r="K43" s="17"/>
      <c r="L43" s="19"/>
      <c r="N43" s="16"/>
      <c r="O43" s="17"/>
      <c r="P43" s="19"/>
      <c r="R43" s="16"/>
      <c r="S43" s="17"/>
      <c r="T43" s="19"/>
      <c r="V43" s="16"/>
      <c r="W43" s="17"/>
      <c r="X43" s="19"/>
      <c r="Z43" s="16"/>
      <c r="AA43" s="17"/>
      <c r="AB43" s="19"/>
      <c r="AD43" s="16"/>
      <c r="AE43" s="17"/>
      <c r="AF43" s="19"/>
      <c r="AH43" s="16"/>
      <c r="AI43" s="17"/>
      <c r="AJ43" s="19"/>
      <c r="AL43" s="16"/>
      <c r="AM43" s="17"/>
      <c r="AN43" s="19"/>
      <c r="AP43" s="16"/>
      <c r="AQ43" s="17"/>
      <c r="AR43" s="19"/>
      <c r="AS43" s="17"/>
      <c r="AT43" s="16"/>
      <c r="AU43" s="17"/>
      <c r="AV43" s="19"/>
    </row>
    <row r="44" spans="1:48" ht="14.5" customHeight="1" x14ac:dyDescent="0.55000000000000004">
      <c r="A44" t="str">
        <f>+Input!A80</f>
        <v>Reserved</v>
      </c>
      <c r="B44" s="16"/>
      <c r="C44" s="17"/>
      <c r="D44" s="19"/>
      <c r="F44" s="16"/>
      <c r="G44" s="17"/>
      <c r="H44" s="19"/>
      <c r="J44" s="16"/>
      <c r="K44" s="17"/>
      <c r="L44" s="19"/>
      <c r="N44" s="16"/>
      <c r="O44" s="17"/>
      <c r="P44" s="19"/>
      <c r="R44" s="16"/>
      <c r="S44" s="17"/>
      <c r="T44" s="19"/>
      <c r="V44" s="16"/>
      <c r="W44" s="17"/>
      <c r="X44" s="19"/>
      <c r="Z44" s="16"/>
      <c r="AA44" s="17"/>
      <c r="AB44" s="19"/>
      <c r="AD44" s="16"/>
      <c r="AE44" s="17"/>
      <c r="AF44" s="19"/>
      <c r="AH44" s="16"/>
      <c r="AI44" s="17"/>
      <c r="AJ44" s="19"/>
      <c r="AL44" s="16"/>
      <c r="AM44" s="17"/>
      <c r="AN44" s="19"/>
      <c r="AP44" s="16"/>
      <c r="AQ44" s="17"/>
      <c r="AR44" s="19"/>
      <c r="AS44" s="17"/>
      <c r="AT44" s="16"/>
      <c r="AU44" s="17"/>
      <c r="AV44" s="19"/>
    </row>
    <row r="45" spans="1:48" ht="14.5" customHeight="1" x14ac:dyDescent="0.55000000000000004">
      <c r="A45" t="str">
        <f>+Input!A81</f>
        <v>Reserved</v>
      </c>
      <c r="B45" s="16"/>
      <c r="C45" s="17"/>
      <c r="D45" s="19"/>
      <c r="F45" s="16"/>
      <c r="G45" s="17"/>
      <c r="H45" s="19"/>
      <c r="J45" s="16"/>
      <c r="K45" s="17"/>
      <c r="L45" s="19"/>
      <c r="N45" s="16"/>
      <c r="O45" s="17"/>
      <c r="P45" s="19"/>
      <c r="R45" s="16"/>
      <c r="S45" s="17"/>
      <c r="T45" s="19"/>
      <c r="V45" s="16"/>
      <c r="W45" s="17"/>
      <c r="X45" s="19"/>
      <c r="Z45" s="16"/>
      <c r="AA45" s="17"/>
      <c r="AB45" s="19"/>
      <c r="AD45" s="16"/>
      <c r="AE45" s="17"/>
      <c r="AF45" s="19"/>
      <c r="AH45" s="16"/>
      <c r="AI45" s="17"/>
      <c r="AJ45" s="19"/>
      <c r="AL45" s="16"/>
      <c r="AM45" s="17"/>
      <c r="AN45" s="19"/>
      <c r="AP45" s="16"/>
      <c r="AQ45" s="17"/>
      <c r="AR45" s="19"/>
      <c r="AS45" s="17"/>
      <c r="AT45" s="16"/>
      <c r="AU45" s="17"/>
      <c r="AV45" s="19"/>
    </row>
    <row r="46" spans="1:48" ht="14.5" customHeight="1" x14ac:dyDescent="0.55000000000000004">
      <c r="A46" t="str">
        <f>+Input!A82</f>
        <v>Reserved</v>
      </c>
      <c r="B46" s="16"/>
      <c r="C46" s="17"/>
      <c r="D46" s="19"/>
      <c r="F46" s="16"/>
      <c r="G46" s="17"/>
      <c r="H46" s="19"/>
      <c r="J46" s="16"/>
      <c r="K46" s="17"/>
      <c r="L46" s="19"/>
      <c r="N46" s="16"/>
      <c r="O46" s="17"/>
      <c r="P46" s="19"/>
      <c r="R46" s="16"/>
      <c r="S46" s="17"/>
      <c r="T46" s="19"/>
      <c r="V46" s="16"/>
      <c r="W46" s="17"/>
      <c r="X46" s="19"/>
      <c r="Z46" s="16"/>
      <c r="AA46" s="17"/>
      <c r="AB46" s="19"/>
      <c r="AD46" s="16"/>
      <c r="AE46" s="17"/>
      <c r="AF46" s="19"/>
      <c r="AH46" s="16"/>
      <c r="AI46" s="17"/>
      <c r="AJ46" s="19"/>
      <c r="AL46" s="16"/>
      <c r="AM46" s="17"/>
      <c r="AN46" s="19"/>
      <c r="AP46" s="16"/>
      <c r="AQ46" s="17"/>
      <c r="AR46" s="19"/>
      <c r="AS46" s="17"/>
      <c r="AT46" s="16"/>
      <c r="AU46" s="17"/>
      <c r="AV46" s="19"/>
    </row>
    <row r="47" spans="1:48" x14ac:dyDescent="0.55000000000000004">
      <c r="A47" t="s">
        <v>39</v>
      </c>
      <c r="B47" s="16"/>
      <c r="C47" s="17"/>
      <c r="D47" s="19"/>
      <c r="F47" s="16"/>
      <c r="G47" s="17"/>
      <c r="H47" s="19"/>
      <c r="J47" s="16"/>
      <c r="K47" s="17"/>
      <c r="L47" s="19"/>
      <c r="N47" s="16"/>
      <c r="O47" s="17"/>
      <c r="P47" s="19"/>
      <c r="R47" s="16"/>
      <c r="S47" s="17"/>
      <c r="T47" s="19"/>
      <c r="V47" s="16"/>
      <c r="W47" s="17"/>
      <c r="X47" s="19"/>
      <c r="Z47" s="16"/>
      <c r="AA47" s="17"/>
      <c r="AB47" s="19"/>
      <c r="AD47" s="16"/>
      <c r="AE47" s="17"/>
      <c r="AF47" s="19"/>
      <c r="AH47" s="16"/>
      <c r="AI47" s="17"/>
      <c r="AJ47" s="19"/>
      <c r="AL47" s="16"/>
      <c r="AM47" s="17"/>
      <c r="AN47" s="19"/>
      <c r="AP47" s="16"/>
      <c r="AQ47" s="17"/>
      <c r="AR47" s="19"/>
      <c r="AS47" s="17"/>
      <c r="AT47" s="16"/>
      <c r="AU47" s="17"/>
      <c r="AV47" s="19"/>
    </row>
    <row r="48" spans="1:48" x14ac:dyDescent="0.55000000000000004">
      <c r="B48" s="16"/>
      <c r="C48" s="17"/>
      <c r="D48" s="19"/>
      <c r="F48" s="16"/>
      <c r="G48" s="17"/>
      <c r="H48" s="19"/>
      <c r="J48" s="16"/>
      <c r="K48" s="17"/>
      <c r="L48" s="19"/>
      <c r="N48" s="16"/>
      <c r="O48" s="17"/>
      <c r="P48" s="19"/>
      <c r="R48" s="16"/>
      <c r="S48" s="17"/>
      <c r="T48" s="19"/>
      <c r="V48" s="16"/>
      <c r="W48" s="17"/>
      <c r="X48" s="19"/>
      <c r="Z48" s="16"/>
      <c r="AA48" s="17"/>
      <c r="AB48" s="19"/>
      <c r="AD48" s="16"/>
      <c r="AE48" s="17"/>
      <c r="AF48" s="19"/>
      <c r="AH48" s="16"/>
      <c r="AI48" s="17"/>
      <c r="AJ48" s="19"/>
      <c r="AL48" s="16"/>
      <c r="AM48" s="17"/>
      <c r="AN48" s="19"/>
      <c r="AP48" s="16"/>
      <c r="AQ48" s="17"/>
      <c r="AR48" s="19"/>
      <c r="AS48" s="17"/>
      <c r="AT48" s="16"/>
      <c r="AU48" s="17"/>
      <c r="AV48" s="19"/>
    </row>
    <row r="49" spans="1:48" ht="14.7" thickBot="1" x14ac:dyDescent="0.6">
      <c r="A49" t="s">
        <v>40</v>
      </c>
      <c r="B49" s="27"/>
      <c r="C49" s="28"/>
      <c r="D49" s="32">
        <f>D22+D38+D41+D42</f>
        <v>119.33477235659757</v>
      </c>
      <c r="F49" s="27"/>
      <c r="G49" s="28"/>
      <c r="H49" s="32">
        <f>H22+H38+H41+H42</f>
        <v>119.33477235659757</v>
      </c>
      <c r="J49" s="27"/>
      <c r="K49" s="28"/>
      <c r="L49" s="32">
        <f>L22+L38+L41+L42</f>
        <v>119.33477235659757</v>
      </c>
      <c r="N49" s="27"/>
      <c r="O49" s="28"/>
      <c r="P49" s="32">
        <f>P22+P38+P41+P42</f>
        <v>119.33477235659757</v>
      </c>
      <c r="R49" s="27"/>
      <c r="S49" s="28"/>
      <c r="T49" s="32">
        <f>T22+T38+T41+T42</f>
        <v>119.33477235659757</v>
      </c>
      <c r="V49" s="27"/>
      <c r="W49" s="28"/>
      <c r="X49" s="32">
        <f>X22+X38+X41+X42</f>
        <v>119.33477235659757</v>
      </c>
      <c r="Z49" s="27"/>
      <c r="AA49" s="28"/>
      <c r="AB49" s="32">
        <f>AB22+AB38+AB41+AB42</f>
        <v>119.33477235659757</v>
      </c>
      <c r="AD49" s="27"/>
      <c r="AE49" s="28"/>
      <c r="AF49" s="32">
        <f>AF22+AF38+AF41+AF42</f>
        <v>119.33477235659757</v>
      </c>
      <c r="AH49" s="27"/>
      <c r="AI49" s="28"/>
      <c r="AJ49" s="32">
        <f>AJ22+AJ38+AJ41+AJ42</f>
        <v>119.33477235659757</v>
      </c>
      <c r="AL49" s="27"/>
      <c r="AM49" s="28"/>
      <c r="AN49" s="32">
        <f>AN22+AN38+AN41+AN42</f>
        <v>119.33477235659757</v>
      </c>
      <c r="AP49" s="27"/>
      <c r="AQ49" s="28"/>
      <c r="AR49" s="32">
        <f>AR22+AR38+AR41+AR42</f>
        <v>119.33477235659757</v>
      </c>
      <c r="AS49" s="176"/>
      <c r="AT49" s="27"/>
      <c r="AU49" s="28"/>
      <c r="AV49" s="32">
        <f>AV22+AV38+AV41+AV42</f>
        <v>119.33477235659757</v>
      </c>
    </row>
    <row r="51" spans="1:48" x14ac:dyDescent="0.55000000000000004">
      <c r="A51" t="s">
        <v>81</v>
      </c>
    </row>
    <row r="52" spans="1:48" ht="14.7" thickBot="1" x14ac:dyDescent="0.6"/>
    <row r="53" spans="1:48" x14ac:dyDescent="0.55000000000000004">
      <c r="A53" s="11" t="s">
        <v>83</v>
      </c>
      <c r="B53" s="12">
        <f>Input!$B$11</f>
        <v>2024</v>
      </c>
    </row>
    <row r="54" spans="1:48" x14ac:dyDescent="0.55000000000000004">
      <c r="A54" s="13" t="s">
        <v>6</v>
      </c>
      <c r="B54" s="57" t="s">
        <v>13</v>
      </c>
    </row>
    <row r="55" spans="1:48" x14ac:dyDescent="0.55000000000000004">
      <c r="A55" s="13" t="s">
        <v>41</v>
      </c>
      <c r="B55" s="14">
        <f>Input!D11</f>
        <v>11</v>
      </c>
    </row>
    <row r="56" spans="1:48" x14ac:dyDescent="0.55000000000000004">
      <c r="A56" s="13" t="s">
        <v>8</v>
      </c>
      <c r="B56" s="14" t="s">
        <v>24</v>
      </c>
    </row>
    <row r="57" spans="1:48" x14ac:dyDescent="0.55000000000000004">
      <c r="A57" s="13" t="s">
        <v>89</v>
      </c>
      <c r="B57" s="14" t="s">
        <v>26</v>
      </c>
    </row>
    <row r="58" spans="1:48" x14ac:dyDescent="0.55000000000000004">
      <c r="A58" s="13" t="s">
        <v>51</v>
      </c>
      <c r="B58" s="14" t="str">
        <f>VLOOKUP(B59,Input!$A$86:$C$92,2,FALSE)</f>
        <v>San Jose Water Company</v>
      </c>
    </row>
    <row r="59" spans="1:48" ht="14.7" thickBot="1" x14ac:dyDescent="0.6">
      <c r="A59" s="15" t="s">
        <v>28</v>
      </c>
      <c r="B59" s="35" t="str">
        <f>'Residential Bill_Current_avg'!B59</f>
        <v>San Jose Water Company</v>
      </c>
    </row>
    <row r="60" spans="1:48" ht="14.7" thickBot="1" x14ac:dyDescent="0.6">
      <c r="A60" s="34"/>
      <c r="B60" s="24"/>
    </row>
    <row r="61" spans="1:48" ht="14.7" thickBot="1" x14ac:dyDescent="0.6">
      <c r="A61" s="1"/>
      <c r="B61" s="209" t="str">
        <f>CONCATENATE("January"," ",$B$5)</f>
        <v>January 2024</v>
      </c>
      <c r="C61" s="210"/>
      <c r="D61" s="211"/>
      <c r="F61" s="209" t="str">
        <f>CONCATENATE("February"," ",$B$5)</f>
        <v>February 2024</v>
      </c>
      <c r="G61" s="210"/>
      <c r="H61" s="211"/>
      <c r="J61" s="209" t="str">
        <f>CONCATENATE("March"," ",$B$5)</f>
        <v>March 2024</v>
      </c>
      <c r="K61" s="210"/>
      <c r="L61" s="211"/>
      <c r="N61" s="209" t="str">
        <f>CONCATENATE("April"," ",$B$5)</f>
        <v>April 2024</v>
      </c>
      <c r="O61" s="210"/>
      <c r="P61" s="211"/>
      <c r="R61" s="209" t="str">
        <f>CONCATENATE("May"," ",$B$5)</f>
        <v>May 2024</v>
      </c>
      <c r="S61" s="210"/>
      <c r="T61" s="211"/>
      <c r="V61" s="209" t="str">
        <f>CONCATENATE("June"," ",$B$5)</f>
        <v>June 2024</v>
      </c>
      <c r="W61" s="210"/>
      <c r="X61" s="211"/>
      <c r="Z61" s="209" t="str">
        <f>CONCATENATE("July"," ",$B$5)</f>
        <v>July 2024</v>
      </c>
      <c r="AA61" s="210"/>
      <c r="AB61" s="211"/>
      <c r="AD61" s="209" t="str">
        <f>CONCATENATE("August"," ",$B$5)</f>
        <v>August 2024</v>
      </c>
      <c r="AE61" s="210"/>
      <c r="AF61" s="211"/>
      <c r="AH61" s="209" t="str">
        <f>CONCATENATE("September"," ",$B$5)</f>
        <v>September 2024</v>
      </c>
      <c r="AI61" s="210"/>
      <c r="AJ61" s="211"/>
      <c r="AL61" s="209" t="str">
        <f>CONCATENATE("October"," ",$B$5)</f>
        <v>October 2024</v>
      </c>
      <c r="AM61" s="210"/>
      <c r="AN61" s="211"/>
      <c r="AP61" s="209" t="str">
        <f>CONCATENATE("November"," ",$B$5)</f>
        <v>November 2024</v>
      </c>
      <c r="AQ61" s="210"/>
      <c r="AR61" s="211"/>
      <c r="AS61" s="171"/>
      <c r="AT61" s="209" t="str">
        <f>CONCATENATE("December"," ",$B$5)</f>
        <v>December 2024</v>
      </c>
      <c r="AU61" s="210"/>
      <c r="AV61" s="211"/>
    </row>
    <row r="62" spans="1:48" x14ac:dyDescent="0.55000000000000004">
      <c r="A62" s="1" t="s">
        <v>5</v>
      </c>
      <c r="B62" s="16"/>
      <c r="C62" s="17"/>
      <c r="D62" s="18">
        <f>INDEX(Input!$C$28:$AL$42,MATCH('Residential Bills_Yr 3_avg'!$B$54,Input!$A$28:$A$42,0),MATCH('Residential Bills_Yr 3_avg'!B$61,Input!$C$27:$AL$27,0))</f>
        <v>54.784772356597571</v>
      </c>
      <c r="F62" s="16"/>
      <c r="G62" s="17"/>
      <c r="H62" s="18">
        <f>INDEX(Input!$C$28:$AL$42,MATCH('Residential Bills_Yr 3_avg'!$B$54,Input!$A$28:$A$42,0),MATCH('Residential Bills_Yr 3_avg'!F$61,Input!$C$27:$AL$27,0))</f>
        <v>54.784772356597571</v>
      </c>
      <c r="J62" s="16"/>
      <c r="K62" s="17"/>
      <c r="L62" s="18">
        <f>INDEX(Input!$C$28:$AL$42,MATCH('Residential Bills_Yr 3_avg'!$B$54,Input!$A$28:$A$42,0),MATCH('Residential Bills_Yr 3_avg'!J$61,Input!$C$27:$AL$27,0))</f>
        <v>54.784772356597571</v>
      </c>
      <c r="N62" s="16"/>
      <c r="O62" s="17"/>
      <c r="P62" s="18">
        <f>INDEX(Input!$C$28:$AL$42,MATCH('Residential Bills_Yr 3_avg'!$B$54,Input!$A$28:$A$42,0),MATCH('Residential Bills_Yr 3_avg'!N$61,Input!$C$27:$AL$27,0))</f>
        <v>54.784772356597571</v>
      </c>
      <c r="R62" s="16"/>
      <c r="S62" s="17"/>
      <c r="T62" s="18">
        <f>INDEX(Input!$C$28:$AL$42,MATCH('Residential Bills_Yr 3_avg'!$B$54,Input!$A$28:$A$42,0),MATCH('Residential Bills_Yr 3_avg'!R$61,Input!$C$27:$AL$27,0))</f>
        <v>54.784772356597571</v>
      </c>
      <c r="V62" s="16"/>
      <c r="W62" s="17"/>
      <c r="X62" s="18">
        <f>INDEX(Input!$C$28:$AL$42,MATCH('Residential Bills_Yr 3_avg'!$B$54,Input!$A$28:$A$42,0),MATCH('Residential Bills_Yr 3_avg'!V$61,Input!$C$27:$AL$27,0))</f>
        <v>54.784772356597571</v>
      </c>
      <c r="Z62" s="16"/>
      <c r="AA62" s="17"/>
      <c r="AB62" s="18">
        <f>INDEX(Input!$C$28:$AL$42,MATCH('Residential Bills_Yr 3_avg'!$B$54,Input!$A$28:$A$42,0),MATCH('Residential Bills_Yr 3_avg'!Z$61,Input!$C$27:$AL$27,0))</f>
        <v>54.784772356597571</v>
      </c>
      <c r="AD62" s="16"/>
      <c r="AE62" s="17"/>
      <c r="AF62" s="18">
        <f>INDEX(Input!$C$28:$AL$42,MATCH('Residential Bills_Yr 3_avg'!$B$54,Input!$A$28:$A$42,0),MATCH('Residential Bills_Yr 3_avg'!AD$61,Input!$C$27:$AL$27,0))</f>
        <v>54.784772356597571</v>
      </c>
      <c r="AH62" s="16"/>
      <c r="AI62" s="17"/>
      <c r="AJ62" s="18">
        <f>INDEX(Input!$C$28:$AL$42,MATCH('Residential Bills_Yr 3_avg'!$B$54,Input!$A$28:$A$42,0),MATCH('Residential Bills_Yr 3_avg'!AH$61,Input!$C$27:$AL$27,0))</f>
        <v>54.784772356597571</v>
      </c>
      <c r="AL62" s="16"/>
      <c r="AM62" s="17"/>
      <c r="AN62" s="18">
        <f>INDEX(Input!$C$28:$AL$42,MATCH('Residential Bills_Yr 3_avg'!$B$54,Input!$A$28:$A$42,0),MATCH('Residential Bills_Yr 3_avg'!AL$61,Input!$C$27:$AL$27,0))</f>
        <v>54.784772356597571</v>
      </c>
      <c r="AP62" s="16"/>
      <c r="AQ62" s="17"/>
      <c r="AR62" s="18">
        <f>INDEX(Input!$C$28:$AL$42,MATCH('Residential Bills_Yr 3_avg'!$B$54,Input!$A$28:$A$42,0),MATCH('Residential Bills_Yr 3_avg'!AP$61,Input!$C$27:$AL$27,0))</f>
        <v>54.784772356597571</v>
      </c>
      <c r="AS62" s="175"/>
      <c r="AT62" s="16"/>
      <c r="AU62" s="17"/>
      <c r="AV62" s="18">
        <f>INDEX(Input!$C$28:$AL$42,MATCH('Residential Bills_Yr 3_avg'!$B$54,Input!$A$28:$A$42,0),MATCH('Residential Bills_Yr 3_avg'!AT$61,Input!$C$27:$AL$27,0))</f>
        <v>54.784772356597571</v>
      </c>
    </row>
    <row r="63" spans="1:48" x14ac:dyDescent="0.55000000000000004">
      <c r="B63" s="16"/>
      <c r="C63" s="17"/>
      <c r="D63" s="19"/>
      <c r="F63" s="16"/>
      <c r="G63" s="17"/>
      <c r="H63" s="19"/>
      <c r="J63" s="16"/>
      <c r="K63" s="17"/>
      <c r="L63" s="19"/>
      <c r="N63" s="16"/>
      <c r="O63" s="17"/>
      <c r="P63" s="19"/>
      <c r="R63" s="16"/>
      <c r="S63" s="17"/>
      <c r="T63" s="19"/>
      <c r="V63" s="16"/>
      <c r="W63" s="17"/>
      <c r="X63" s="19"/>
      <c r="Z63" s="16"/>
      <c r="AA63" s="17"/>
      <c r="AB63" s="19"/>
      <c r="AD63" s="16"/>
      <c r="AE63" s="17"/>
      <c r="AF63" s="19"/>
      <c r="AH63" s="16"/>
      <c r="AI63" s="17"/>
      <c r="AJ63" s="19"/>
      <c r="AL63" s="16"/>
      <c r="AM63" s="17"/>
      <c r="AN63" s="19"/>
      <c r="AP63" s="16"/>
      <c r="AQ63" s="17"/>
      <c r="AR63" s="19"/>
      <c r="AS63" s="17"/>
      <c r="AT63" s="16"/>
      <c r="AU63" s="17"/>
      <c r="AV63" s="19"/>
    </row>
    <row r="64" spans="1:48" ht="16.5" customHeight="1" x14ac:dyDescent="0.55000000000000004">
      <c r="A64" s="1" t="s">
        <v>33</v>
      </c>
      <c r="B64" s="20" t="s">
        <v>29</v>
      </c>
      <c r="C64" s="21" t="s">
        <v>7</v>
      </c>
      <c r="D64" s="22" t="s">
        <v>30</v>
      </c>
      <c r="F64" s="20" t="s">
        <v>29</v>
      </c>
      <c r="G64" s="21" t="s">
        <v>7</v>
      </c>
      <c r="H64" s="111" t="s">
        <v>30</v>
      </c>
      <c r="J64" s="20" t="s">
        <v>29</v>
      </c>
      <c r="K64" s="21" t="s">
        <v>7</v>
      </c>
      <c r="L64" s="111" t="s">
        <v>30</v>
      </c>
      <c r="N64" s="20" t="s">
        <v>29</v>
      </c>
      <c r="O64" s="21" t="s">
        <v>7</v>
      </c>
      <c r="P64" s="111" t="s">
        <v>30</v>
      </c>
      <c r="R64" s="20" t="s">
        <v>29</v>
      </c>
      <c r="S64" s="21" t="s">
        <v>7</v>
      </c>
      <c r="T64" s="111" t="s">
        <v>30</v>
      </c>
      <c r="V64" s="20" t="s">
        <v>29</v>
      </c>
      <c r="W64" s="21" t="s">
        <v>7</v>
      </c>
      <c r="X64" s="111" t="s">
        <v>30</v>
      </c>
      <c r="Z64" s="20" t="s">
        <v>29</v>
      </c>
      <c r="AA64" s="21" t="s">
        <v>7</v>
      </c>
      <c r="AB64" s="111" t="s">
        <v>30</v>
      </c>
      <c r="AD64" s="20" t="s">
        <v>29</v>
      </c>
      <c r="AE64" s="21" t="s">
        <v>7</v>
      </c>
      <c r="AF64" s="111" t="s">
        <v>30</v>
      </c>
      <c r="AH64" s="20" t="s">
        <v>29</v>
      </c>
      <c r="AI64" s="21" t="s">
        <v>7</v>
      </c>
      <c r="AJ64" s="111" t="s">
        <v>30</v>
      </c>
      <c r="AL64" s="20" t="s">
        <v>29</v>
      </c>
      <c r="AM64" s="21" t="s">
        <v>7</v>
      </c>
      <c r="AN64" s="111" t="s">
        <v>30</v>
      </c>
      <c r="AP64" s="20" t="s">
        <v>29</v>
      </c>
      <c r="AQ64" s="21" t="s">
        <v>7</v>
      </c>
      <c r="AR64" s="111" t="s">
        <v>30</v>
      </c>
      <c r="AS64" s="170"/>
      <c r="AT64" s="20" t="s">
        <v>29</v>
      </c>
      <c r="AU64" s="21" t="s">
        <v>7</v>
      </c>
      <c r="AV64" s="111" t="s">
        <v>30</v>
      </c>
    </row>
    <row r="65" spans="1:48" x14ac:dyDescent="0.55000000000000004">
      <c r="A65" t="str">
        <f>A17</f>
        <v>Tier 1</v>
      </c>
      <c r="B65" s="23">
        <f>INDEX(Input!$C$21:$AL$25,MATCH('Residential Bills_Yr 3_avg'!$A65,Input!$A$21:$A$25,0),MATCH('Residential Bills_Yr 3_avg'!B$61,Input!$C$20:$AL$20,0))</f>
        <v>4.2841030680439296</v>
      </c>
      <c r="C65" s="24">
        <f>IF($B$7&gt;Input!F101,Input!F101,'Residential Bills_Yr 3_avg'!$B$7)</f>
        <v>6</v>
      </c>
      <c r="D65" s="25">
        <f>ROUND(IFERROR(B65*C65," "),2)</f>
        <v>25.7</v>
      </c>
      <c r="F65" s="23">
        <f>INDEX(Input!$C$21:$AL$25,MATCH('Residential Bills_Yr 3_avg'!$A65,Input!$A$21:$A$25,0),MATCH('Residential Bills_Yr 3_avg'!F$61,Input!$C$20:$AL$20,0))</f>
        <v>4.2841030680439296</v>
      </c>
      <c r="G65" s="24">
        <f>IF($B$55&gt;Input!G101,Input!G101,'Residential Bills_Yr 3_avg'!$B$55)</f>
        <v>6</v>
      </c>
      <c r="H65" s="25">
        <f>ROUND(IFERROR(F65*G65," "),2)</f>
        <v>25.7</v>
      </c>
      <c r="J65" s="23">
        <f>INDEX(Input!$C$21:$AL$25,MATCH('Residential Bills_Yr 3_avg'!$A65,Input!$A$21:$A$25,0),MATCH('Residential Bills_Yr 3_avg'!J$61,Input!$C$20:$AL$20,0))</f>
        <v>4.2841030680439296</v>
      </c>
      <c r="K65" s="24">
        <f>IF($B$55&gt;Input!H101,Input!H101,'Residential Bills_Yr 3_avg'!$B$55)</f>
        <v>6</v>
      </c>
      <c r="L65" s="25">
        <f>ROUND(IFERROR(J65*K65," "),2)</f>
        <v>25.7</v>
      </c>
      <c r="N65" s="23">
        <f>INDEX(Input!$C$21:$AL$25,MATCH('Residential Bills_Yr 3_avg'!$A65,Input!$A$21:$A$25,0),MATCH('Residential Bills_Yr 3_avg'!N$61,Input!$C$20:$AL$20,0))</f>
        <v>4.2841030680439296</v>
      </c>
      <c r="O65" s="24">
        <f>IF($B$55&gt;Input!I101,Input!I101,'Residential Bills_Yr 3_avg'!$B$55)</f>
        <v>6</v>
      </c>
      <c r="P65" s="25">
        <f>ROUND(IFERROR(N65*O65," "),2)</f>
        <v>25.7</v>
      </c>
      <c r="R65" s="23">
        <f>INDEX(Input!$C$21:$AL$25,MATCH('Residential Bills_Yr 3_avg'!$A65,Input!$A$21:$A$25,0),MATCH('Residential Bills_Yr 3_avg'!R$61,Input!$C$20:$AL$20,0))</f>
        <v>4.2841030680439296</v>
      </c>
      <c r="S65" s="24">
        <f>IF($B$55&gt;Input!J101,Input!J101,'Residential Bills_Yr 3_avg'!$B$55)</f>
        <v>6</v>
      </c>
      <c r="T65" s="25">
        <f>ROUND(IFERROR(R65*S65," "),2)</f>
        <v>25.7</v>
      </c>
      <c r="V65" s="23">
        <f>INDEX(Input!$C$21:$AL$25,MATCH('Residential Bills_Yr 3_avg'!$A65,Input!$A$21:$A$25,0),MATCH('Residential Bills_Yr 3_avg'!V$61,Input!$C$20:$AL$20,0))</f>
        <v>4.2841030680439296</v>
      </c>
      <c r="W65" s="24">
        <f>IF($B$55&gt;Input!K101,Input!K101,'Residential Bills_Yr 3_avg'!$B$55)</f>
        <v>6</v>
      </c>
      <c r="X65" s="25">
        <f>ROUND(IFERROR(V65*W65," "),2)</f>
        <v>25.7</v>
      </c>
      <c r="Z65" s="23">
        <f>INDEX(Input!$C$21:$AL$25,MATCH('Residential Bills_Yr 3_avg'!$A65,Input!$A$21:$A$25,0),MATCH('Residential Bills_Yr 3_avg'!Z$61,Input!$C$20:$AL$20,0))</f>
        <v>4.2841030680439296</v>
      </c>
      <c r="AA65" s="24">
        <f>IF($B$55&gt;Input!L101,Input!L101,'Residential Bills_Yr 3_avg'!$B$55)</f>
        <v>6</v>
      </c>
      <c r="AB65" s="25">
        <f>ROUND(IFERROR(Z65*AA65," "),2)</f>
        <v>25.7</v>
      </c>
      <c r="AD65" s="23">
        <f>INDEX(Input!$C$21:$AL$25,MATCH('Residential Bills_Yr 3_avg'!$A65,Input!$A$21:$A$25,0),MATCH('Residential Bills_Yr 3_avg'!AD$61,Input!$C$20:$AL$20,0))</f>
        <v>4.2841030680439296</v>
      </c>
      <c r="AE65" s="24">
        <f>IF($B$55&gt;Input!M101,Input!M101,'Residential Bills_Yr 3_avg'!$B$55)</f>
        <v>6</v>
      </c>
      <c r="AF65" s="25">
        <f>ROUND(IFERROR(AD65*AE65," "),2)</f>
        <v>25.7</v>
      </c>
      <c r="AH65" s="23">
        <f>INDEX(Input!$C$21:$AL$25,MATCH('Residential Bills_Yr 3_avg'!$A65,Input!$A$21:$A$25,0),MATCH('Residential Bills_Yr 3_avg'!AH$61,Input!$C$20:$AL$20,0))</f>
        <v>4.2841030680439296</v>
      </c>
      <c r="AI65" s="24">
        <f>IF($B$55&gt;Input!N101,Input!N101,'Residential Bills_Yr 3_avg'!$B$55)</f>
        <v>6</v>
      </c>
      <c r="AJ65" s="25">
        <f>ROUND(IFERROR(AH65*AI65," "),2)</f>
        <v>25.7</v>
      </c>
      <c r="AL65" s="23">
        <f>INDEX(Input!$C$21:$AL$25,MATCH('Residential Bills_Yr 3_avg'!$A65,Input!$A$21:$A$25,0),MATCH('Residential Bills_Yr 3_avg'!AL$61,Input!$C$20:$AL$20,0))</f>
        <v>4.2841030680439296</v>
      </c>
      <c r="AM65" s="24">
        <f>IF($B$55&gt;Input!O101,Input!O101,'Residential Bills_Yr 3_avg'!$B$55)</f>
        <v>6</v>
      </c>
      <c r="AN65" s="25">
        <f>ROUND(IFERROR(AL65*AM65," "),2)</f>
        <v>25.7</v>
      </c>
      <c r="AP65" s="23">
        <f>INDEX(Input!$C$21:$AL$25,MATCH('Residential Bills_Yr 3_avg'!$A65,Input!$A$21:$A$25,0),MATCH('Residential Bills_Yr 3_avg'!AP$61,Input!$C$20:$AL$20,0))</f>
        <v>4.2841030680439296</v>
      </c>
      <c r="AQ65" s="24">
        <f>IF($B$55&gt;Input!P101,Input!P101,'Residential Bills_Yr 3_avg'!$B$55)</f>
        <v>6</v>
      </c>
      <c r="AR65" s="25">
        <f>ROUND(IFERROR(AP65*AQ65," "),2)</f>
        <v>25.7</v>
      </c>
      <c r="AS65" s="30"/>
      <c r="AT65" s="23">
        <f>INDEX(Input!$C$21:$AL$25,MATCH('Residential Bills_Yr 3_avg'!$A65,Input!$A$21:$A$25,0),MATCH('Residential Bills_Yr 3_avg'!AT$61,Input!$C$20:$AL$20,0))</f>
        <v>4.2841030680439296</v>
      </c>
      <c r="AU65" s="24">
        <f>IF($B$55&gt;Input!Q101,Input!Q101,'Residential Bills_Yr 3_avg'!$B$55)</f>
        <v>6</v>
      </c>
      <c r="AV65" s="25">
        <f>ROUND(IFERROR(AT65*AU65," "),2)</f>
        <v>25.7</v>
      </c>
    </row>
    <row r="66" spans="1:48" x14ac:dyDescent="0.55000000000000004">
      <c r="A66" t="str">
        <f>A18</f>
        <v>Tier 2</v>
      </c>
      <c r="B66" s="23">
        <f>INDEX(Input!$C$21:$AL$25,MATCH('Residential Bills_Yr 3_avg'!$A66,Input!$A$21:$A$25,0),MATCH('Residential Bills_Yr 3_avg'!B$61,Input!$C$20:$AL$20,0))</f>
        <v>6.1327533174439441</v>
      </c>
      <c r="C66" s="24">
        <f>IF(($B$7-C65)&gt;Input!F102,Input!F102,($B$7-C65))</f>
        <v>5</v>
      </c>
      <c r="D66" s="25">
        <f>ROUND(IFERROR(B66*C66," "),2)</f>
        <v>30.66</v>
      </c>
      <c r="F66" s="23">
        <f>INDEX(Input!$C$21:$AL$25,MATCH('Residential Bills_Yr 3_avg'!$A66,Input!$A$21:$A$25,0),MATCH('Residential Bills_Yr 3_avg'!F$61,Input!$C$20:$AL$20,0))</f>
        <v>6.1327533174439441</v>
      </c>
      <c r="G66" s="24">
        <f>IF(($B$55-G65)&gt;Input!G102,Input!G102,($B$55-G65))</f>
        <v>5</v>
      </c>
      <c r="H66" s="25">
        <f>ROUND(IFERROR(F66*G66," "),2)</f>
        <v>30.66</v>
      </c>
      <c r="J66" s="23">
        <f>INDEX(Input!$C$21:$AL$25,MATCH('Residential Bills_Yr 3_avg'!$A66,Input!$A$21:$A$25,0),MATCH('Residential Bills_Yr 3_avg'!J$61,Input!$C$20:$AL$20,0))</f>
        <v>6.1327533174439441</v>
      </c>
      <c r="K66" s="24">
        <f>IF(($B$55-K65)&gt;Input!H102,Input!H102,($B$55-K65))</f>
        <v>5</v>
      </c>
      <c r="L66" s="25">
        <f>ROUND(IFERROR(J66*K66," "),2)</f>
        <v>30.66</v>
      </c>
      <c r="N66" s="23">
        <f>INDEX(Input!$C$21:$AL$25,MATCH('Residential Bills_Yr 3_avg'!$A66,Input!$A$21:$A$25,0),MATCH('Residential Bills_Yr 3_avg'!N$61,Input!$C$20:$AL$20,0))</f>
        <v>6.1327533174439441</v>
      </c>
      <c r="O66" s="24">
        <f>IF(($B$55-O65)&gt;Input!I102,Input!I102,($B$55-O65))</f>
        <v>5</v>
      </c>
      <c r="P66" s="25">
        <f>ROUND(IFERROR(N66*O66," "),2)</f>
        <v>30.66</v>
      </c>
      <c r="R66" s="23">
        <f>INDEX(Input!$C$21:$AL$25,MATCH('Residential Bills_Yr 3_avg'!$A66,Input!$A$21:$A$25,0),MATCH('Residential Bills_Yr 3_avg'!R$61,Input!$C$20:$AL$20,0))</f>
        <v>6.1327533174439441</v>
      </c>
      <c r="S66" s="24">
        <f>IF(($B$55-S65)&gt;Input!J102,Input!J102,($B$55-S65))</f>
        <v>5</v>
      </c>
      <c r="T66" s="25">
        <f>ROUND(IFERROR(R66*S66," "),2)</f>
        <v>30.66</v>
      </c>
      <c r="V66" s="23">
        <f>INDEX(Input!$C$21:$AL$25,MATCH('Residential Bills_Yr 3_avg'!$A66,Input!$A$21:$A$25,0),MATCH('Residential Bills_Yr 3_avg'!V$61,Input!$C$20:$AL$20,0))</f>
        <v>6.1327533174439441</v>
      </c>
      <c r="W66" s="24">
        <f>IF(($B$55-W65)&gt;Input!K102,Input!K102,($B$55-S65))</f>
        <v>5</v>
      </c>
      <c r="X66" s="25">
        <f>ROUND(IFERROR(V66*W66," "),2)</f>
        <v>30.66</v>
      </c>
      <c r="Z66" s="23">
        <f>INDEX(Input!$C$21:$AL$25,MATCH('Residential Bills_Yr 3_avg'!$A66,Input!$A$21:$A$25,0),MATCH('Residential Bills_Yr 3_avg'!Z$61,Input!$C$20:$AL$20,0))</f>
        <v>6.1327533174439441</v>
      </c>
      <c r="AA66" s="24">
        <f>IF(($B$55-AA65)&gt;Input!L102,Input!L102,($B$55-AA65))</f>
        <v>5</v>
      </c>
      <c r="AB66" s="25">
        <f>ROUND(IFERROR(Z66*AA66," "),2)</f>
        <v>30.66</v>
      </c>
      <c r="AD66" s="23">
        <f>INDEX(Input!$C$21:$AL$25,MATCH('Residential Bills_Yr 3_avg'!$A66,Input!$A$21:$A$25,0),MATCH('Residential Bills_Yr 3_avg'!AD$61,Input!$C$20:$AL$20,0))</f>
        <v>6.1327533174439441</v>
      </c>
      <c r="AE66" s="24">
        <f>IF(($B$55-AE65)&gt;Input!M102,Input!M102,($B$55-AE65))</f>
        <v>5</v>
      </c>
      <c r="AF66" s="25">
        <f>ROUND(IFERROR(AD66*AE66," "),2)</f>
        <v>30.66</v>
      </c>
      <c r="AH66" s="23">
        <f>INDEX(Input!$C$21:$AL$25,MATCH('Residential Bills_Yr 3_avg'!$A66,Input!$A$21:$A$25,0),MATCH('Residential Bills_Yr 3_avg'!AH$61,Input!$C$20:$AL$20,0))</f>
        <v>6.1327533174439441</v>
      </c>
      <c r="AI66" s="24">
        <f>IF(($B$55-AI65)&gt;Input!N102,Input!N102,($B$55-AI65))</f>
        <v>5</v>
      </c>
      <c r="AJ66" s="25">
        <f>ROUND(IFERROR(AH66*AI66," "),2)</f>
        <v>30.66</v>
      </c>
      <c r="AL66" s="23">
        <f>INDEX(Input!$C$21:$AL$25,MATCH('Residential Bills_Yr 3_avg'!$A66,Input!$A$21:$A$25,0),MATCH('Residential Bills_Yr 3_avg'!AL$61,Input!$C$20:$AL$20,0))</f>
        <v>6.1327533174439441</v>
      </c>
      <c r="AM66" s="24">
        <f>IF(($B$55-AM65)&gt;Input!O102,Input!O102,($B$55-AM65))</f>
        <v>5</v>
      </c>
      <c r="AN66" s="25">
        <f>ROUND(IFERROR(AL66*AM66," "),2)</f>
        <v>30.66</v>
      </c>
      <c r="AP66" s="23">
        <f>INDEX(Input!$C$21:$AL$25,MATCH('Residential Bills_Yr 3_avg'!$A66,Input!$A$21:$A$25,0),MATCH('Residential Bills_Yr 3_avg'!AP$61,Input!$C$20:$AL$20,0))</f>
        <v>6.1327533174439441</v>
      </c>
      <c r="AQ66" s="24">
        <f>IF(($B$55-AQ65)&gt;Input!P102,Input!P102,($B$55-AQ65))</f>
        <v>5</v>
      </c>
      <c r="AR66" s="25">
        <f>ROUND(IFERROR(AP66*AQ66," "),2)</f>
        <v>30.66</v>
      </c>
      <c r="AS66" s="30"/>
      <c r="AT66" s="23">
        <f>INDEX(Input!$C$21:$AL$25,MATCH('Residential Bills_Yr 3_avg'!$A66,Input!$A$21:$A$25,0),MATCH('Residential Bills_Yr 3_avg'!AT$61,Input!$C$20:$AL$20,0))</f>
        <v>6.1327533174439441</v>
      </c>
      <c r="AU66" s="24">
        <f>IF(($B$55-AU65)&gt;Input!Q102,Input!Q102,($B$55-AU65))</f>
        <v>5</v>
      </c>
      <c r="AV66" s="25">
        <f>ROUND(IFERROR(AT66*AU66," "),2)</f>
        <v>30.66</v>
      </c>
    </row>
    <row r="67" spans="1:48" x14ac:dyDescent="0.55000000000000004">
      <c r="A67" t="str">
        <f>A19</f>
        <v>Tier 3</v>
      </c>
      <c r="B67" s="23">
        <f>INDEX(Input!$C$21:$AL$25,MATCH('Residential Bills_Yr 3_avg'!$A67,Input!$A$21:$A$25,0),MATCH('Residential Bills_Yr 3_avg'!B$61,Input!$C$20:$AL$20,0))</f>
        <v>9.4739837944770233</v>
      </c>
      <c r="C67" s="24">
        <f>IF(OR(Input!F147="Tier 4",Input!F147="Tier 5"),IF(('Residential Bills_Yr 3_avg'!$B$7-'Residential Bills_Yr 3_avg'!C65-'Residential Bills_Yr 3_avg'!C66)&gt;Input!F151,Input!F151,('Residential Bills_Yr 3_avg'!$B$7-'Residential Bills_Yr 3_avg'!C65-'Residential Bills_Yr 3_avg'!C66)),('Residential Bills_Yr 3_avg'!$B$7-'Residential Bills_Yr 3_avg'!C65-'Residential Bills_Yr 3_avg'!C66))</f>
        <v>0</v>
      </c>
      <c r="D67" s="25">
        <f>ROUND(IFERROR(B67*C67," "),2)</f>
        <v>0</v>
      </c>
      <c r="F67" s="23">
        <f>INDEX(Input!$C$21:$AL$25,MATCH('Residential Bills_Yr 3_avg'!$A67,Input!$A$21:$A$25,0),MATCH('Residential Bills_Yr 3_avg'!F$61,Input!$C$20:$AL$20,0))</f>
        <v>9.4739837944770233</v>
      </c>
      <c r="G67" s="24">
        <f>IF(OR(Input!G128="Tier 4",Input!G128="Tier 5"),IF(('Residential Bills_Yr 3_avg'!$B$55-'Residential Bills_Yr 3_avg'!G65-'Residential Bills_Yr 3_avg'!G66)&gt;Input!G89,Input!G89,('Residential Bills_Yr 3_avg'!$B$55-'Residential Bills_Yr 3_avg'!G65-'Residential Bills_Yr 3_avg'!G66)),('Residential Bills_Yr 3_avg'!$B$55-'Residential Bills_Yr 3_avg'!G65-'Residential Bills_Yr 3_avg'!G66))</f>
        <v>0</v>
      </c>
      <c r="H67" s="25">
        <f>ROUND(IFERROR(F67*G67," "),2)</f>
        <v>0</v>
      </c>
      <c r="J67" s="23">
        <f>INDEX(Input!$C$21:$AL$25,MATCH('Residential Bills_Yr 3_avg'!$A67,Input!$A$21:$A$25,0),MATCH('Residential Bills_Yr 3_avg'!J$61,Input!$C$20:$AL$20,0))</f>
        <v>9.4739837944770233</v>
      </c>
      <c r="K67" s="24">
        <f>IF(OR(Input!H128="Tier 4",Input!H128="Tier 5"),IF(('Residential Bills_Yr 3_avg'!$B$55-'Residential Bills_Yr 3_avg'!K65-'Residential Bills_Yr 3_avg'!K66)&gt;Input!H89,Input!H89,('Residential Bills_Yr 3_avg'!$B$55-'Residential Bills_Yr 3_avg'!K65-'Residential Bills_Yr 3_avg'!K66)),('Residential Bills_Yr 3_avg'!$B$55-'Residential Bills_Yr 3_avg'!K65-'Residential Bills_Yr 3_avg'!K66))</f>
        <v>0</v>
      </c>
      <c r="L67" s="25">
        <f>ROUND(IFERROR(J67*K67," "),2)</f>
        <v>0</v>
      </c>
      <c r="N67" s="23">
        <f>INDEX(Input!$C$21:$AL$25,MATCH('Residential Bills_Yr 3_avg'!$A67,Input!$A$21:$A$25,0),MATCH('Residential Bills_Yr 3_avg'!N$61,Input!$C$20:$AL$20,0))</f>
        <v>9.4739837944770233</v>
      </c>
      <c r="O67" s="24">
        <f>IF(OR(Input!I128="Tier 4",Input!I128="Tier 5"),IF(('Residential Bills_Yr 3_avg'!$B$55-'Residential Bills_Yr 3_avg'!O65-'Residential Bills_Yr 3_avg'!O66)&gt;Input!I89,Input!I89,('Residential Bills_Yr 3_avg'!$B$55-'Residential Bills_Yr 3_avg'!O65-'Residential Bills_Yr 3_avg'!O66)),('Residential Bills_Yr 3_avg'!$B$55-'Residential Bills_Yr 3_avg'!O65-'Residential Bills_Yr 3_avg'!O66))</f>
        <v>0</v>
      </c>
      <c r="P67" s="25">
        <f>ROUND(IFERROR(N67*O67," "),2)</f>
        <v>0</v>
      </c>
      <c r="R67" s="23">
        <f>INDEX(Input!$C$21:$AL$25,MATCH('Residential Bills_Yr 3_avg'!$A67,Input!$A$21:$A$25,0),MATCH('Residential Bills_Yr 3_avg'!R$61,Input!$C$20:$AL$20,0))</f>
        <v>9.4739837944770233</v>
      </c>
      <c r="S67" s="24">
        <f>IF(OR(Input!J128="Tier 4",Input!J128="Tier 5"),IF(('Residential Bills_Yr 3_avg'!$B$55-'Residential Bills_Yr 3_avg'!S65-'Residential Bills_Yr 3_avg'!S66)&gt;Input!J89,Input!J89,('Residential Bills_Yr 3_avg'!$B$55-'Residential Bills_Yr 3_avg'!S65-'Residential Bills_Yr 3_avg'!S66)),('Residential Bills_Yr 3_avg'!$B$55-'Residential Bills_Yr 3_avg'!S65-'Residential Bills_Yr 3_avg'!S66))</f>
        <v>0</v>
      </c>
      <c r="T67" s="25">
        <f>ROUND(IFERROR(R67*S67," "),2)</f>
        <v>0</v>
      </c>
      <c r="V67" s="23">
        <f>INDEX(Input!$C$21:$AL$25,MATCH('Residential Bills_Yr 3_avg'!$A67,Input!$A$21:$A$25,0),MATCH('Residential Bills_Yr 3_avg'!V$61,Input!$C$20:$AL$20,0))</f>
        <v>9.4739837944770233</v>
      </c>
      <c r="W67" s="24">
        <f>IF(OR(Input!K128="Tier 4",Input!K128="Tier 5"),IF(('Residential Bills_Yr 3_avg'!$B$55-'Residential Bills_Yr 3_avg'!W65-'Residential Bills_Yr 3_avg'!W66)&gt;Input!K89,Input!K89,('Residential Bills_Yr 3_avg'!$B$55-'Residential Bills_Yr 3_avg'!W65-'Residential Bills_Yr 3_avg'!W66)),('Residential Bills_Yr 3_avg'!$B$55-'Residential Bills_Yr 3_avg'!W65-'Residential Bills_Yr 3_avg'!W66))</f>
        <v>0</v>
      </c>
      <c r="X67" s="25">
        <f>ROUND(IFERROR(V67*W67," "),2)</f>
        <v>0</v>
      </c>
      <c r="Z67" s="23">
        <f>INDEX(Input!$C$21:$AL$25,MATCH('Residential Bills_Yr 3_avg'!$A67,Input!$A$21:$A$25,0),MATCH('Residential Bills_Yr 3_avg'!Z$61,Input!$C$20:$AL$20,0))</f>
        <v>9.4739837944770233</v>
      </c>
      <c r="AA67" s="24">
        <f>IF(OR(Input!L128="Tier 4",Input!L128="Tier 5"),IF(('Residential Bills_Yr 3_avg'!$B$55-'Residential Bills_Yr 3_avg'!AA65-'Residential Bills_Yr 3_avg'!AA66)&gt;Input!L89,Input!L89,('Residential Bills_Yr 3_avg'!$B$55-'Residential Bills_Yr 3_avg'!AA65-'Residential Bills_Yr 3_avg'!AA66)),('Residential Bills_Yr 3_avg'!$B$55-'Residential Bills_Yr 3_avg'!AA65-'Residential Bills_Yr 3_avg'!AA66))</f>
        <v>0</v>
      </c>
      <c r="AB67" s="25">
        <f>ROUND(IFERROR(Z67*AA67," "),2)</f>
        <v>0</v>
      </c>
      <c r="AD67" s="23">
        <f>INDEX(Input!$C$21:$AL$25,MATCH('Residential Bills_Yr 3_avg'!$A67,Input!$A$21:$A$25,0),MATCH('Residential Bills_Yr 3_avg'!AD$61,Input!$C$20:$AL$20,0))</f>
        <v>9.4739837944770233</v>
      </c>
      <c r="AE67" s="24">
        <f>IF(OR(Input!M128="Tier 4",Input!M128="Tier 5"),IF(('Residential Bills_Yr 3_avg'!$B$55-'Residential Bills_Yr 3_avg'!AE65-'Residential Bills_Yr 3_avg'!AE66)&gt;Input!M89,Input!M89,('Residential Bills_Yr 3_avg'!$B$55-'Residential Bills_Yr 3_avg'!AE65-'Residential Bills_Yr 3_avg'!AE66)),('Residential Bills_Yr 3_avg'!$B$55-'Residential Bills_Yr 3_avg'!AE65-'Residential Bills_Yr 3_avg'!AE66))</f>
        <v>0</v>
      </c>
      <c r="AF67" s="25">
        <f>ROUND(IFERROR(AD67*AE67," "),2)</f>
        <v>0</v>
      </c>
      <c r="AH67" s="23">
        <f>INDEX(Input!$C$21:$AL$25,MATCH('Residential Bills_Yr 3_avg'!$A67,Input!$A$21:$A$25,0),MATCH('Residential Bills_Yr 3_avg'!AH$61,Input!$C$20:$AL$20,0))</f>
        <v>9.4739837944770233</v>
      </c>
      <c r="AI67" s="24">
        <f>IF(OR(Input!N128="Tier 4",Input!N128="Tier 5"),IF(('Residential Bills_Yr 3_avg'!$B$55-'Residential Bills_Yr 3_avg'!AI65-'Residential Bills_Yr 3_avg'!AI66)&gt;Input!N89,Input!N89,('Residential Bills_Yr 3_avg'!$B$55-'Residential Bills_Yr 3_avg'!AI65-'Residential Bills_Yr 3_avg'!AI66)),('Residential Bills_Yr 3_avg'!$B$55-'Residential Bills_Yr 3_avg'!AI65-'Residential Bills_Yr 3_avg'!AI66))</f>
        <v>0</v>
      </c>
      <c r="AJ67" s="25">
        <f>ROUND(IFERROR(AH67*AI67," "),2)</f>
        <v>0</v>
      </c>
      <c r="AL67" s="23">
        <f>INDEX(Input!$C$21:$AL$25,MATCH('Residential Bills_Yr 3_avg'!$A67,Input!$A$21:$A$25,0),MATCH('Residential Bills_Yr 3_avg'!AL$61,Input!$C$20:$AL$20,0))</f>
        <v>9.4739837944770233</v>
      </c>
      <c r="AM67" s="24">
        <f>IF(OR(Input!O128="Tier 4",Input!O128="Tier 5"),IF(('Residential Bills_Yr 3_avg'!$B$55-'Residential Bills_Yr 3_avg'!AM65-'Residential Bills_Yr 3_avg'!AM66)&gt;Input!O89,Input!O89,('Residential Bills_Yr 3_avg'!$B$55-'Residential Bills_Yr 3_avg'!AM65-'Residential Bills_Yr 3_avg'!AM66)),('Residential Bills_Yr 3_avg'!$B$55-'Residential Bills_Yr 3_avg'!AM65-'Residential Bills_Yr 3_avg'!AM66))</f>
        <v>0</v>
      </c>
      <c r="AN67" s="25">
        <f>ROUND(IFERROR(AL67*AM67," "),2)</f>
        <v>0</v>
      </c>
      <c r="AP67" s="23">
        <f>INDEX(Input!$C$21:$AL$25,MATCH('Residential Bills_Yr 3_avg'!$A67,Input!$A$21:$A$25,0),MATCH('Residential Bills_Yr 3_avg'!AP$61,Input!$C$20:$AL$20,0))</f>
        <v>9.4739837944770233</v>
      </c>
      <c r="AQ67" s="24">
        <f>IF(OR(Input!P128="Tier 4",Input!P128="Tier 5"),IF(('Residential Bills_Yr 3_avg'!$B$55-'Residential Bills_Yr 3_avg'!AQ65-'Residential Bills_Yr 3_avg'!AQ66)&gt;Input!P89,Input!P89,('Residential Bills_Yr 3_avg'!$B$55-'Residential Bills_Yr 3_avg'!AQ65-'Residential Bills_Yr 3_avg'!AQ66)),('Residential Bills_Yr 3_avg'!$B$55-'Residential Bills_Yr 3_avg'!AQ65-'Residential Bills_Yr 3_avg'!AQ66))</f>
        <v>0</v>
      </c>
      <c r="AR67" s="25">
        <f>ROUND(IFERROR(AP67*AQ67," "),2)</f>
        <v>0</v>
      </c>
      <c r="AS67" s="30"/>
      <c r="AT67" s="23">
        <f>INDEX(Input!$C$21:$AL$25,MATCH('Residential Bills_Yr 3_avg'!$A67,Input!$A$21:$A$25,0),MATCH('Residential Bills_Yr 3_avg'!AT$61,Input!$C$20:$AL$20,0))</f>
        <v>9.4739837944770233</v>
      </c>
      <c r="AU67" s="24">
        <f>IF(OR(Input!Q128="Tier 4",Input!Q128="Tier 5"),IF(('Residential Bills_Yr 3_avg'!$B$55-'Residential Bills_Yr 3_avg'!AU65-'Residential Bills_Yr 3_avg'!AU66)&gt;Input!Q89,Input!Q89,('Residential Bills_Yr 3_avg'!$B$55-'Residential Bills_Yr 3_avg'!AU65-'Residential Bills_Yr 3_avg'!AU66)),('Residential Bills_Yr 3_avg'!$B$55-'Residential Bills_Yr 3_avg'!AU65-'Residential Bills_Yr 3_avg'!AU66))</f>
        <v>0</v>
      </c>
      <c r="AV67" s="25">
        <f>ROUND(IFERROR(AT67*AU67," "),2)</f>
        <v>0</v>
      </c>
    </row>
    <row r="68" spans="1:48" ht="14.5" hidden="1" customHeight="1" x14ac:dyDescent="0.55000000000000004">
      <c r="A68" t="str">
        <f>A20</f>
        <v>Tier 4</v>
      </c>
      <c r="B68" s="23">
        <f>INDEX(Input!$C$21:$AL$25,MATCH('Residential Bills_Yr 3_avg'!$A68,Input!$A$21:$A$25,0),MATCH('Residential Bills_Yr 3_avg'!B$61,Input!$C$20:$AL$20,0))</f>
        <v>0</v>
      </c>
      <c r="C68" s="24" t="str">
        <f>IF(Input!F128="Tier 4",($B$55-C65-C66-C67),IF(Input!F128="Tier 5",IF(('Residential Bills_Yr 3_avg'!$B$55-'Residential Bills_Yr 3_avg'!C65-'Residential Bills_Yr 3_avg'!C66-'Residential Bills_Yr 3_avg'!C67)&gt;Input!F133,Input!F133,('Residential Bills_Yr 3_avg'!$B$55-'Residential Bills_Yr 3_avg'!C65-'Residential Bills_Yr 3_avg'!C66-'Residential Bills_Yr 3_avg'!C67))," "))</f>
        <v xml:space="preserve"> </v>
      </c>
      <c r="D68" s="25" t="str">
        <f t="shared" ref="D68:D69" si="24">IFERROR(B68*C68," ")</f>
        <v xml:space="preserve"> </v>
      </c>
      <c r="F68" s="23">
        <f>INDEX(Input!$C$21:$AL$25,MATCH('Residential Bills_Yr 3_avg'!$A68,Input!$A$21:$A$25,0),MATCH('Residential Bills_Yr 3_avg'!F$61,Input!$C$20:$AL$20,0))</f>
        <v>0</v>
      </c>
      <c r="G68" s="24" t="str">
        <f>IF(Input!G128="Tier 4",($B$55-G65-G66-G67),IF(Input!G128="Tier 5",IF(('Residential Bills_Yr 3_avg'!$B$55-'Residential Bills_Yr 3_avg'!G65-'Residential Bills_Yr 3_avg'!G66-'Residential Bills_Yr 3_avg'!G67)&gt;Input!G133,Input!G133,('Residential Bills_Yr 3_avg'!$B$55-'Residential Bills_Yr 3_avg'!G65-'Residential Bills_Yr 3_avg'!G66-'Residential Bills_Yr 3_avg'!G67))," "))</f>
        <v xml:space="preserve"> </v>
      </c>
      <c r="H68" s="25" t="str">
        <f t="shared" ref="H68:H69" si="25">IFERROR(F68*G68," ")</f>
        <v xml:space="preserve"> </v>
      </c>
      <c r="J68" s="23">
        <f>INDEX(Input!$C$21:$AL$25,MATCH('Residential Bills_Yr 3_avg'!$A68,Input!$A$21:$A$25,0),MATCH('Residential Bills_Yr 3_avg'!J$61,Input!$C$20:$AL$20,0))</f>
        <v>0</v>
      </c>
      <c r="K68" s="24" t="str">
        <f>IF(Input!H128="Tier 4",($B$55-K65-K66-K67),IF(Input!H128="Tier 5",IF(('Residential Bills_Yr 3_avg'!$B$55-'Residential Bills_Yr 3_avg'!K65-'Residential Bills_Yr 3_avg'!K66-'Residential Bills_Yr 3_avg'!K67)&gt;Input!H133,Input!H133,('Residential Bills_Yr 3_avg'!$B$55-'Residential Bills_Yr 3_avg'!K65-'Residential Bills_Yr 3_avg'!K66-'Residential Bills_Yr 3_avg'!K67))," "))</f>
        <v xml:space="preserve"> </v>
      </c>
      <c r="L68" s="25" t="str">
        <f t="shared" ref="L68:L69" si="26">IFERROR(J68*K68," ")</f>
        <v xml:space="preserve"> </v>
      </c>
      <c r="N68" s="23">
        <f>INDEX(Input!$C$21:$AL$25,MATCH('Residential Bills_Yr 3_avg'!$A68,Input!$A$21:$A$25,0),MATCH('Residential Bills_Yr 3_avg'!N$61,Input!$C$20:$AL$20,0))</f>
        <v>0</v>
      </c>
      <c r="O68" s="24" t="str">
        <f>IF(Input!I128="Tier 4",($B$55-O65-O66-O67),IF(Input!I128="Tier 5",IF(('Residential Bills_Yr 3_avg'!$B$55-'Residential Bills_Yr 3_avg'!O65-'Residential Bills_Yr 3_avg'!O66-'Residential Bills_Yr 3_avg'!O67)&gt;Input!I133,Input!I133,('Residential Bills_Yr 3_avg'!$B$55-'Residential Bills_Yr 3_avg'!O65-'Residential Bills_Yr 3_avg'!O66-'Residential Bills_Yr 3_avg'!O67))," "))</f>
        <v xml:space="preserve"> </v>
      </c>
      <c r="P68" s="25" t="str">
        <f t="shared" ref="P68:P69" si="27">IFERROR(N68*O68," ")</f>
        <v xml:space="preserve"> </v>
      </c>
      <c r="R68" s="23">
        <f>INDEX(Input!$C$21:$AL$25,MATCH('Residential Bills_Yr 3_avg'!$A68,Input!$A$21:$A$25,0),MATCH('Residential Bills_Yr 3_avg'!R$61,Input!$C$20:$AL$20,0))</f>
        <v>0</v>
      </c>
      <c r="S68" s="24" t="str">
        <f>IF(Input!J128="Tier 4",($B$55-S65-S66-S67),IF(Input!J128="Tier 5",IF(('Residential Bills_Yr 3_avg'!$B$55-'Residential Bills_Yr 3_avg'!S65-'Residential Bills_Yr 3_avg'!S66-'Residential Bills_Yr 3_avg'!S67)&gt;Input!J133,Input!J133,('Residential Bills_Yr 3_avg'!$B$55-'Residential Bills_Yr 3_avg'!S65-'Residential Bills_Yr 3_avg'!S66-'Residential Bills_Yr 3_avg'!S67))," "))</f>
        <v xml:space="preserve"> </v>
      </c>
      <c r="T68" s="25" t="str">
        <f t="shared" ref="T68:T69" si="28">IFERROR(R68*S68," ")</f>
        <v xml:space="preserve"> </v>
      </c>
      <c r="V68" s="23">
        <f>INDEX(Input!$C$21:$AL$25,MATCH('Residential Bills_Yr 3_avg'!$A68,Input!$A$21:$A$25,0),MATCH('Residential Bills_Yr 3_avg'!V$61,Input!$C$20:$AL$20,0))</f>
        <v>0</v>
      </c>
      <c r="W68" s="24" t="str">
        <f>IF(Input!K128="Tier 4",($B$55-W65-W66-W67),IF(Input!K128="Tier 5",IF(('Residential Bills_Yr 3_avg'!$B$55-'Residential Bills_Yr 3_avg'!W65-'Residential Bills_Yr 3_avg'!W66-'Residential Bills_Yr 3_avg'!W67)&gt;Input!K133,Input!K133,('Residential Bills_Yr 3_avg'!$B$55-'Residential Bills_Yr 3_avg'!W65-'Residential Bills_Yr 3_avg'!W66-'Residential Bills_Yr 3_avg'!W67))," "))</f>
        <v xml:space="preserve"> </v>
      </c>
      <c r="X68" s="25" t="str">
        <f t="shared" ref="X68:X69" si="29">IFERROR(V68*W68," ")</f>
        <v xml:space="preserve"> </v>
      </c>
      <c r="Z68" s="23">
        <f>INDEX(Input!$C$21:$AL$25,MATCH('Residential Bills_Yr 3_avg'!$A68,Input!$A$21:$A$25,0),MATCH('Residential Bills_Yr 3_avg'!Z$61,Input!$C$20:$AL$20,0))</f>
        <v>0</v>
      </c>
      <c r="AA68" s="24" t="str">
        <f>IF(Input!L128="Tier 4",($B$55-AA65-AA66-AA67),IF(Input!L128="Tier 5",IF(('Residential Bills_Yr 3_avg'!$B$55-'Residential Bills_Yr 3_avg'!AA65-'Residential Bills_Yr 3_avg'!AA66-'Residential Bills_Yr 3_avg'!AA67)&gt;Input!L133,Input!L133,('Residential Bills_Yr 3_avg'!$B$55-'Residential Bills_Yr 3_avg'!AA65-'Residential Bills_Yr 3_avg'!AA66-'Residential Bills_Yr 3_avg'!AA67))," "))</f>
        <v xml:space="preserve"> </v>
      </c>
      <c r="AB68" s="25" t="str">
        <f t="shared" ref="AB68:AB69" si="30">IFERROR(Z68*AA68," ")</f>
        <v xml:space="preserve"> </v>
      </c>
      <c r="AD68" s="23">
        <f>INDEX(Input!$C$21:$AL$25,MATCH('Residential Bills_Yr 3_avg'!$A68,Input!$A$21:$A$25,0),MATCH('Residential Bills_Yr 3_avg'!AD$61,Input!$C$20:$AL$20,0))</f>
        <v>0</v>
      </c>
      <c r="AE68" s="24" t="str">
        <f>IF(Input!M128="Tier 4",($B$55-AE65-AE66-AE67),IF(Input!M128="Tier 5",IF(('Residential Bills_Yr 3_avg'!$B$55-'Residential Bills_Yr 3_avg'!AE65-'Residential Bills_Yr 3_avg'!AE66-'Residential Bills_Yr 3_avg'!AE67)&gt;Input!M133,Input!M133,('Residential Bills_Yr 3_avg'!$B$55-'Residential Bills_Yr 3_avg'!AE65-'Residential Bills_Yr 3_avg'!AE66-'Residential Bills_Yr 3_avg'!AE67))," "))</f>
        <v xml:space="preserve"> </v>
      </c>
      <c r="AF68" s="25" t="str">
        <f t="shared" ref="AF68:AF69" si="31">IFERROR(AD68*AE68," ")</f>
        <v xml:space="preserve"> </v>
      </c>
      <c r="AH68" s="23">
        <f>INDEX(Input!$C$21:$AL$25,MATCH('Residential Bills_Yr 3_avg'!$A68,Input!$A$21:$A$25,0),MATCH('Residential Bills_Yr 3_avg'!AH$61,Input!$C$20:$AL$20,0))</f>
        <v>0</v>
      </c>
      <c r="AI68" s="24" t="str">
        <f>IF(Input!N128="Tier 4",($B$55-AI65-AI66-AI67),IF(Input!N128="Tier 5",IF(('Residential Bills_Yr 3_avg'!$B$55-'Residential Bills_Yr 3_avg'!AI65-'Residential Bills_Yr 3_avg'!AI66-'Residential Bills_Yr 3_avg'!AI67)&gt;Input!N133,Input!N133,('Residential Bills_Yr 3_avg'!$B$55-'Residential Bills_Yr 3_avg'!AI65-'Residential Bills_Yr 3_avg'!AI66-'Residential Bills_Yr 3_avg'!AI67))," "))</f>
        <v xml:space="preserve"> </v>
      </c>
      <c r="AJ68" s="25" t="str">
        <f t="shared" ref="AJ68:AJ69" si="32">IFERROR(AH68*AI68," ")</f>
        <v xml:space="preserve"> </v>
      </c>
      <c r="AL68" s="23">
        <f>INDEX(Input!$C$21:$AL$25,MATCH('Residential Bills_Yr 3_avg'!$A68,Input!$A$21:$A$25,0),MATCH('Residential Bills_Yr 3_avg'!AL$61,Input!$C$20:$AL$20,0))</f>
        <v>0</v>
      </c>
      <c r="AM68" s="24" t="str">
        <f>IF(Input!O128="Tier 4",($B$55-AM65-AM66-AM67),IF(Input!O128="Tier 5",IF(('Residential Bills_Yr 3_avg'!$B$55-'Residential Bills_Yr 3_avg'!AM65-'Residential Bills_Yr 3_avg'!AM66-'Residential Bills_Yr 3_avg'!AM67)&gt;Input!O133,Input!O133,('Residential Bills_Yr 3_avg'!$B$55-'Residential Bills_Yr 3_avg'!AM65-'Residential Bills_Yr 3_avg'!AM66-'Residential Bills_Yr 3_avg'!AM67))," "))</f>
        <v xml:space="preserve"> </v>
      </c>
      <c r="AN68" s="25" t="str">
        <f t="shared" ref="AN68:AN69" si="33">IFERROR(AL68*AM68," ")</f>
        <v xml:space="preserve"> </v>
      </c>
      <c r="AP68" s="23">
        <f>INDEX(Input!$C$21:$AL$25,MATCH('Residential Bills_Yr 3_avg'!$A68,Input!$A$21:$A$25,0),MATCH('Residential Bills_Yr 3_avg'!AP$61,Input!$C$20:$AL$20,0))</f>
        <v>0</v>
      </c>
      <c r="AQ68" s="24" t="str">
        <f>IF(Input!P128="Tier 4",($B$55-AQ65-AQ66-AQ67),IF(Input!P128="Tier 5",IF(('Residential Bills_Yr 3_avg'!$B$55-'Residential Bills_Yr 3_avg'!AQ65-'Residential Bills_Yr 3_avg'!AQ66-'Residential Bills_Yr 3_avg'!AQ67)&gt;Input!P133,Input!P133,('Residential Bills_Yr 3_avg'!$B$55-'Residential Bills_Yr 3_avg'!AQ65-'Residential Bills_Yr 3_avg'!AQ66-'Residential Bills_Yr 3_avg'!AQ67))," "))</f>
        <v xml:space="preserve"> </v>
      </c>
      <c r="AR68" s="25" t="str">
        <f t="shared" ref="AR68:AR69" si="34">IFERROR(AP68*AQ68," ")</f>
        <v xml:space="preserve"> </v>
      </c>
      <c r="AS68" s="30"/>
      <c r="AT68" s="23">
        <f>INDEX(Input!$C$21:$AL$25,MATCH('Residential Bills_Yr 3_avg'!$A68,Input!$A$21:$A$25,0),MATCH('Residential Bills_Yr 3_avg'!AT$61,Input!$C$20:$AL$20,0))</f>
        <v>0</v>
      </c>
      <c r="AU68" s="24" t="str">
        <f>IF(Input!Q128="Tier 4",($B$55-AU65-AU66-AU67),IF(Input!Q128="Tier 5",IF(('Residential Bills_Yr 3_avg'!$B$55-'Residential Bills_Yr 3_avg'!AU65-'Residential Bills_Yr 3_avg'!AU66-'Residential Bills_Yr 3_avg'!AU67)&gt;Input!Q133,Input!Q133,('Residential Bills_Yr 3_avg'!$B$55-'Residential Bills_Yr 3_avg'!AU65-'Residential Bills_Yr 3_avg'!AU66-'Residential Bills_Yr 3_avg'!AU67))," "))</f>
        <v xml:space="preserve"> </v>
      </c>
      <c r="AV68" s="25" t="str">
        <f t="shared" ref="AV68:AV69" si="35">IFERROR(AT68*AU68," ")</f>
        <v xml:space="preserve"> </v>
      </c>
    </row>
    <row r="69" spans="1:48" ht="14.5" hidden="1" customHeight="1" x14ac:dyDescent="0.55000000000000004">
      <c r="A69" t="str">
        <f>A21</f>
        <v>Tier 5</v>
      </c>
      <c r="B69" s="23">
        <f>INDEX(Input!$C$21:$AL$25,MATCH('Residential Bills_Yr 3_avg'!$A69,Input!$A$21:$A$25,0),MATCH('Residential Bills_Yr 3_avg'!B$61,Input!$C$20:$AL$20,0))</f>
        <v>0</v>
      </c>
      <c r="C69" s="24" t="str">
        <f>IF(Input!F128="Tier 5",('Residential Bills_Yr 3_avg'!$B$55-'Residential Bills_Yr 3_avg'!C65-'Residential Bills_Yr 3_avg'!C66-'Residential Bills_Yr 3_avg'!C67-'Residential Bills_Yr 3_avg'!C68)," ")</f>
        <v xml:space="preserve"> </v>
      </c>
      <c r="D69" s="25" t="str">
        <f t="shared" si="24"/>
        <v xml:space="preserve"> </v>
      </c>
      <c r="F69" s="23">
        <f>INDEX(Input!$C$21:$AL$25,MATCH('Residential Bills_Yr 3_avg'!$A69,Input!$A$21:$A$25,0),MATCH('Residential Bills_Yr 3_avg'!F$61,Input!$C$20:$AL$20,0))</f>
        <v>0</v>
      </c>
      <c r="G69" s="24" t="str">
        <f>IF(Input!G128="Tier 5",('Residential Bills_Yr 3_avg'!$B$55-'Residential Bills_Yr 3_avg'!G65-'Residential Bills_Yr 3_avg'!G66-'Residential Bills_Yr 3_avg'!G67-'Residential Bills_Yr 3_avg'!G68)," ")</f>
        <v xml:space="preserve"> </v>
      </c>
      <c r="H69" s="25" t="str">
        <f t="shared" si="25"/>
        <v xml:space="preserve"> </v>
      </c>
      <c r="J69" s="23">
        <f>INDEX(Input!$C$21:$AL$25,MATCH('Residential Bills_Yr 3_avg'!$A69,Input!$A$21:$A$25,0),MATCH('Residential Bills_Yr 3_avg'!J$61,Input!$C$20:$AL$20,0))</f>
        <v>0</v>
      </c>
      <c r="K69" s="24" t="str">
        <f>IF(Input!H128="Tier 5",('Residential Bills_Yr 3_avg'!$B$55-'Residential Bills_Yr 3_avg'!K$17-'Residential Bills_Yr 3_avg'!K$18-'Residential Bills_Yr 3_avg'!K$19-'Residential Bills_Yr 3_avg'!K$20)," ")</f>
        <v xml:space="preserve"> </v>
      </c>
      <c r="L69" s="25" t="str">
        <f t="shared" si="26"/>
        <v xml:space="preserve"> </v>
      </c>
      <c r="N69" s="23">
        <f>INDEX(Input!$C$21:$AL$25,MATCH('Residential Bills_Yr 3_avg'!$A69,Input!$A$21:$A$25,0),MATCH('Residential Bills_Yr 3_avg'!N$61,Input!$C$20:$AL$20,0))</f>
        <v>0</v>
      </c>
      <c r="O69" s="24" t="str">
        <f>IF(Input!I128="Tier 5",('Residential Bills_Yr 3_avg'!$B$55-'Residential Bills_Yr 3_avg'!O$17-'Residential Bills_Yr 3_avg'!O$18-'Residential Bills_Yr 3_avg'!O$19-'Residential Bills_Yr 3_avg'!O$20)," ")</f>
        <v xml:space="preserve"> </v>
      </c>
      <c r="P69" s="25" t="str">
        <f t="shared" si="27"/>
        <v xml:space="preserve"> </v>
      </c>
      <c r="R69" s="23">
        <f>INDEX(Input!$C$21:$AL$25,MATCH('Residential Bills_Yr 3_avg'!$A69,Input!$A$21:$A$25,0),MATCH('Residential Bills_Yr 3_avg'!R$61,Input!$C$20:$AL$20,0))</f>
        <v>0</v>
      </c>
      <c r="S69" s="24" t="str">
        <f>IF(Input!J128="Tier 5",('Residential Bills_Yr 3_avg'!$B$55-'Residential Bills_Yr 3_avg'!S$17-'Residential Bills_Yr 3_avg'!S$18-'Residential Bills_Yr 3_avg'!S$19-'Residential Bills_Yr 3_avg'!S$20)," ")</f>
        <v xml:space="preserve"> </v>
      </c>
      <c r="T69" s="25" t="str">
        <f t="shared" si="28"/>
        <v xml:space="preserve"> </v>
      </c>
      <c r="V69" s="23">
        <f>INDEX(Input!$C$21:$AL$25,MATCH('Residential Bills_Yr 3_avg'!$A69,Input!$A$21:$A$25,0),MATCH('Residential Bills_Yr 3_avg'!V$61,Input!$C$20:$AL$20,0))</f>
        <v>0</v>
      </c>
      <c r="W69" s="24" t="str">
        <f>IF(Input!K128="Tier 5",('Residential Bills_Yr 3_avg'!$B$55-'Residential Bills_Yr 3_avg'!W$17-'Residential Bills_Yr 3_avg'!W$18-'Residential Bills_Yr 3_avg'!W$19-'Residential Bills_Yr 3_avg'!W$20)," ")</f>
        <v xml:space="preserve"> </v>
      </c>
      <c r="X69" s="25" t="str">
        <f t="shared" si="29"/>
        <v xml:space="preserve"> </v>
      </c>
      <c r="Z69" s="23">
        <f>INDEX(Input!$C$21:$AL$25,MATCH('Residential Bills_Yr 3_avg'!$A69,Input!$A$21:$A$25,0),MATCH('Residential Bills_Yr 3_avg'!Z$61,Input!$C$20:$AL$20,0))</f>
        <v>0</v>
      </c>
      <c r="AA69" s="24" t="str">
        <f>IF(Input!L128="Tier 5",('Residential Bills_Yr 3_avg'!$B$55-'Residential Bills_Yr 3_avg'!AA$17-'Residential Bills_Yr 3_avg'!AA$18-'Residential Bills_Yr 3_avg'!AA$19-'Residential Bills_Yr 3_avg'!AA$20)," ")</f>
        <v xml:space="preserve"> </v>
      </c>
      <c r="AB69" s="25" t="str">
        <f t="shared" si="30"/>
        <v xml:space="preserve"> </v>
      </c>
      <c r="AD69" s="23">
        <f>INDEX(Input!$C$21:$AL$25,MATCH('Residential Bills_Yr 3_avg'!$A69,Input!$A$21:$A$25,0),MATCH('Residential Bills_Yr 3_avg'!AD$61,Input!$C$20:$AL$20,0))</f>
        <v>0</v>
      </c>
      <c r="AE69" s="24" t="str">
        <f>IF(Input!M128="Tier 5",('Residential Bills_Yr 3_avg'!$B$55-'Residential Bills_Yr 3_avg'!AE$17-'Residential Bills_Yr 3_avg'!AE$18-'Residential Bills_Yr 3_avg'!AE$19-'Residential Bills_Yr 3_avg'!AE$20)," ")</f>
        <v xml:space="preserve"> </v>
      </c>
      <c r="AF69" s="25" t="str">
        <f t="shared" si="31"/>
        <v xml:space="preserve"> </v>
      </c>
      <c r="AH69" s="23">
        <f>INDEX(Input!$C$21:$AL$25,MATCH('Residential Bills_Yr 3_avg'!$A69,Input!$A$21:$A$25,0),MATCH('Residential Bills_Yr 3_avg'!AH$61,Input!$C$20:$AL$20,0))</f>
        <v>0</v>
      </c>
      <c r="AI69" s="24" t="str">
        <f>IF(Input!N128="Tier 5",('Residential Bills_Yr 3_avg'!$B$55-'Residential Bills_Yr 3_avg'!AI$17-'Residential Bills_Yr 3_avg'!AI$18-'Residential Bills_Yr 3_avg'!AI$19-'Residential Bills_Yr 3_avg'!AI$20)," ")</f>
        <v xml:space="preserve"> </v>
      </c>
      <c r="AJ69" s="25" t="str">
        <f t="shared" si="32"/>
        <v xml:space="preserve"> </v>
      </c>
      <c r="AL69" s="23">
        <f>INDEX(Input!$C$21:$AL$25,MATCH('Residential Bills_Yr 3_avg'!$A69,Input!$A$21:$A$25,0),MATCH('Residential Bills_Yr 3_avg'!AL$61,Input!$C$20:$AL$20,0))</f>
        <v>0</v>
      </c>
      <c r="AM69" s="24" t="str">
        <f>IF(Input!O128="Tier 5",('Residential Bills_Yr 3_avg'!$B$55-'Residential Bills_Yr 3_avg'!AM$17-'Residential Bills_Yr 3_avg'!AM$18-'Residential Bills_Yr 3_avg'!AM$19-'Residential Bills_Yr 3_avg'!AM$20)," ")</f>
        <v xml:space="preserve"> </v>
      </c>
      <c r="AN69" s="25" t="str">
        <f t="shared" si="33"/>
        <v xml:space="preserve"> </v>
      </c>
      <c r="AP69" s="23">
        <f>INDEX(Input!$C$21:$AL$25,MATCH('Residential Bills_Yr 3_avg'!$A69,Input!$A$21:$A$25,0),MATCH('Residential Bills_Yr 3_avg'!AP$61,Input!$C$20:$AL$20,0))</f>
        <v>0</v>
      </c>
      <c r="AQ69" s="24" t="str">
        <f>IF(Input!P128="Tier 5",('Residential Bills_Yr 3_avg'!$B$55-'Residential Bills_Yr 3_avg'!AQ$17-'Residential Bills_Yr 3_avg'!AQ$18-'Residential Bills_Yr 3_avg'!AQ$19-'Residential Bills_Yr 3_avg'!AQ$20)," ")</f>
        <v xml:space="preserve"> </v>
      </c>
      <c r="AR69" s="25" t="str">
        <f t="shared" si="34"/>
        <v xml:space="preserve"> </v>
      </c>
      <c r="AS69" s="30"/>
      <c r="AT69" s="23">
        <f>INDEX(Input!$C$21:$AL$25,MATCH('Residential Bills_Yr 3_avg'!$A69,Input!$A$21:$A$25,0),MATCH('Residential Bills_Yr 3_avg'!AT$61,Input!$C$20:$AL$20,0))</f>
        <v>0</v>
      </c>
      <c r="AU69" s="24" t="str">
        <f>IF(Input!Q128="Tier 5",('Residential Bills_Yr 3_avg'!$B$55-'Residential Bills_Yr 3_avg'!AU$17-'Residential Bills_Yr 3_avg'!AU$18-'Residential Bills_Yr 3_avg'!AU$19-'Residential Bills_Yr 3_avg'!AU$20)," ")</f>
        <v xml:space="preserve"> </v>
      </c>
      <c r="AV69" s="25" t="str">
        <f t="shared" si="35"/>
        <v xml:space="preserve"> </v>
      </c>
    </row>
    <row r="70" spans="1:48" x14ac:dyDescent="0.55000000000000004">
      <c r="A70" t="s">
        <v>39</v>
      </c>
      <c r="B70" s="16"/>
      <c r="C70" s="24">
        <f>SUM(C65:C69)</f>
        <v>11</v>
      </c>
      <c r="D70" s="26">
        <f>SUM(D65:D69)+D62</f>
        <v>111.14477235659757</v>
      </c>
      <c r="F70" s="16"/>
      <c r="G70" s="24">
        <f>SUM(G65:G69)</f>
        <v>11</v>
      </c>
      <c r="H70" s="26">
        <f>SUM(H65:H69)+H62</f>
        <v>111.14477235659757</v>
      </c>
      <c r="J70" s="16"/>
      <c r="K70" s="24">
        <f>SUM(K65:K69)</f>
        <v>11</v>
      </c>
      <c r="L70" s="26">
        <f>SUM(L65:L69)+L62</f>
        <v>111.14477235659757</v>
      </c>
      <c r="N70" s="16"/>
      <c r="O70" s="24">
        <f>SUM(O65:O69)</f>
        <v>11</v>
      </c>
      <c r="P70" s="26">
        <f>SUM(P65:P69)+P62</f>
        <v>111.14477235659757</v>
      </c>
      <c r="R70" s="16"/>
      <c r="S70" s="24">
        <f>SUM(S65:S69)</f>
        <v>11</v>
      </c>
      <c r="T70" s="26">
        <f>SUM(T65:T69)+T62</f>
        <v>111.14477235659757</v>
      </c>
      <c r="V70" s="16"/>
      <c r="W70" s="24">
        <f>SUM(W65:W69)</f>
        <v>11</v>
      </c>
      <c r="X70" s="26">
        <f>SUM(X65:X69)+X62</f>
        <v>111.14477235659757</v>
      </c>
      <c r="Z70" s="16"/>
      <c r="AA70" s="24">
        <f>SUM(AA65:AA69)</f>
        <v>11</v>
      </c>
      <c r="AB70" s="26">
        <f>SUM(AB65:AB69)+AB62</f>
        <v>111.14477235659757</v>
      </c>
      <c r="AD70" s="16"/>
      <c r="AE70" s="24">
        <f>SUM(AE65:AE69)</f>
        <v>11</v>
      </c>
      <c r="AF70" s="26">
        <f>SUM(AF65:AF69)+AF62</f>
        <v>111.14477235659757</v>
      </c>
      <c r="AH70" s="16"/>
      <c r="AI70" s="24">
        <f>SUM(AI65:AI69)</f>
        <v>11</v>
      </c>
      <c r="AJ70" s="26">
        <f>SUM(AJ65:AJ69)+AJ62</f>
        <v>111.14477235659757</v>
      </c>
      <c r="AL70" s="16"/>
      <c r="AM70" s="24">
        <f>SUM(AM65:AM69)</f>
        <v>11</v>
      </c>
      <c r="AN70" s="26">
        <f>SUM(AN65:AN69)+AN62</f>
        <v>111.14477235659757</v>
      </c>
      <c r="AP70" s="16"/>
      <c r="AQ70" s="24">
        <f>SUM(AQ65:AQ69)</f>
        <v>11</v>
      </c>
      <c r="AR70" s="26">
        <f>SUM(AR65:AR69)+AR62</f>
        <v>111.14477235659757</v>
      </c>
      <c r="AS70" s="64"/>
      <c r="AT70" s="16"/>
      <c r="AU70" s="24">
        <f>SUM(AU65:AU69)</f>
        <v>11</v>
      </c>
      <c r="AV70" s="26">
        <f>SUM(AV65:AV69)+AV62</f>
        <v>111.14477235659757</v>
      </c>
    </row>
    <row r="71" spans="1:48" x14ac:dyDescent="0.55000000000000004">
      <c r="B71" s="16"/>
      <c r="C71" s="17"/>
      <c r="D71" s="19"/>
      <c r="F71" s="16"/>
      <c r="G71" s="17"/>
      <c r="H71" s="19"/>
      <c r="J71" s="16"/>
      <c r="K71" s="17"/>
      <c r="L71" s="19"/>
      <c r="N71" s="16"/>
      <c r="O71" s="17"/>
      <c r="P71" s="19"/>
      <c r="R71" s="16"/>
      <c r="S71" s="17"/>
      <c r="T71" s="19"/>
      <c r="V71" s="16"/>
      <c r="W71" s="17"/>
      <c r="X71" s="19"/>
      <c r="Z71" s="16"/>
      <c r="AA71" s="17"/>
      <c r="AB71" s="19"/>
      <c r="AD71" s="16"/>
      <c r="AE71" s="17"/>
      <c r="AF71" s="19"/>
      <c r="AH71" s="16"/>
      <c r="AI71" s="17"/>
      <c r="AJ71" s="19"/>
      <c r="AL71" s="16"/>
      <c r="AM71" s="17"/>
      <c r="AN71" s="19"/>
      <c r="AP71" s="16"/>
      <c r="AQ71" s="17"/>
      <c r="AR71" s="19"/>
      <c r="AS71" s="17"/>
      <c r="AT71" s="16"/>
      <c r="AU71" s="17"/>
      <c r="AV71" s="19"/>
    </row>
    <row r="72" spans="1:48" x14ac:dyDescent="0.55000000000000004">
      <c r="A72" s="1" t="s">
        <v>34</v>
      </c>
      <c r="B72" s="20" t="s">
        <v>29</v>
      </c>
      <c r="C72" s="21" t="s">
        <v>44</v>
      </c>
      <c r="D72" s="22" t="s">
        <v>30</v>
      </c>
      <c r="F72" s="20" t="s">
        <v>29</v>
      </c>
      <c r="G72" s="21" t="s">
        <v>44</v>
      </c>
      <c r="H72" s="111" t="s">
        <v>30</v>
      </c>
      <c r="J72" s="20" t="s">
        <v>29</v>
      </c>
      <c r="K72" s="21" t="s">
        <v>44</v>
      </c>
      <c r="L72" s="111" t="s">
        <v>30</v>
      </c>
      <c r="N72" s="20" t="s">
        <v>29</v>
      </c>
      <c r="O72" s="21" t="s">
        <v>44</v>
      </c>
      <c r="P72" s="111" t="s">
        <v>30</v>
      </c>
      <c r="R72" s="20" t="s">
        <v>29</v>
      </c>
      <c r="S72" s="21" t="s">
        <v>44</v>
      </c>
      <c r="T72" s="111" t="s">
        <v>30</v>
      </c>
      <c r="V72" s="20" t="s">
        <v>29</v>
      </c>
      <c r="W72" s="21" t="s">
        <v>44</v>
      </c>
      <c r="X72" s="111" t="s">
        <v>30</v>
      </c>
      <c r="Z72" s="20" t="s">
        <v>29</v>
      </c>
      <c r="AA72" s="21" t="s">
        <v>44</v>
      </c>
      <c r="AB72" s="111" t="s">
        <v>30</v>
      </c>
      <c r="AD72" s="20" t="s">
        <v>29</v>
      </c>
      <c r="AE72" s="21" t="s">
        <v>44</v>
      </c>
      <c r="AF72" s="111" t="s">
        <v>30</v>
      </c>
      <c r="AH72" s="20" t="s">
        <v>29</v>
      </c>
      <c r="AI72" s="21" t="s">
        <v>44</v>
      </c>
      <c r="AJ72" s="111" t="s">
        <v>30</v>
      </c>
      <c r="AL72" s="20" t="s">
        <v>29</v>
      </c>
      <c r="AM72" s="21" t="s">
        <v>44</v>
      </c>
      <c r="AN72" s="111" t="s">
        <v>30</v>
      </c>
      <c r="AP72" s="20" t="s">
        <v>29</v>
      </c>
      <c r="AQ72" s="21" t="s">
        <v>44</v>
      </c>
      <c r="AR72" s="111" t="s">
        <v>30</v>
      </c>
      <c r="AS72" s="170"/>
      <c r="AT72" s="20" t="s">
        <v>29</v>
      </c>
      <c r="AU72" s="21" t="s">
        <v>44</v>
      </c>
      <c r="AV72" s="111" t="s">
        <v>30</v>
      </c>
    </row>
    <row r="73" spans="1:48" s="44" customFormat="1" x14ac:dyDescent="0.55000000000000004">
      <c r="A73" s="44" t="str">
        <f t="shared" ref="A73:A85" si="36">A25</f>
        <v>SRF 1</v>
      </c>
      <c r="B73" s="173">
        <f>INDEX(Input!$C$62:$AM$74,MATCH($A73,Input!$A$62:$A$74,0),MATCH(B$61,Input!$C$61:$AM$61,0))</f>
        <v>0.04</v>
      </c>
      <c r="C73" s="31" t="str">
        <f>IF(VLOOKUP($A73,Input!$A$62:$B$74,2,FALSE)="Percentage",D$70,IF(VLOOKUP($A73,Input!$A$62:$B$74,2,FALSE)="Fixed","Fixed",(C$70)))</f>
        <v>Fixed</v>
      </c>
      <c r="D73" s="25">
        <f t="shared" ref="D73:D85" si="37">ROUND(IF(C73="Fixed",B73,(B73*C73)),2)</f>
        <v>0.04</v>
      </c>
      <c r="F73" s="173">
        <f>INDEX(Input!$C$62:$AM$74,MATCH($A73,Input!$A$62:$A$74,0),MATCH(F$61,Input!$C$61:$AM$61,0))</f>
        <v>0.04</v>
      </c>
      <c r="G73" s="31" t="str">
        <f>IF(VLOOKUP($A73,Input!$A$62:$B$74,2,FALSE)="Percentage",H$70,IF(VLOOKUP($A73,Input!$A$62:$B$74,2,FALSE)="Fixed","Fixed",(G$70)))</f>
        <v>Fixed</v>
      </c>
      <c r="H73" s="25">
        <f t="shared" ref="H73:H85" si="38">ROUND(IF(G73="Fixed",F73,(F73*G73)),2)</f>
        <v>0.04</v>
      </c>
      <c r="J73" s="173">
        <f>INDEX(Input!$C$62:$AM$74,MATCH($A73,Input!$A$62:$A$74,0),MATCH(J$61,Input!$C$61:$AM$61,0))</f>
        <v>0.04</v>
      </c>
      <c r="K73" s="31" t="str">
        <f>IF(VLOOKUP($A73,Input!$A$62:$B$74,2,FALSE)="Percentage",L$70,IF(VLOOKUP($A73,Input!$A$62:$B$74,2,FALSE)="Fixed","Fixed",(K$70)))</f>
        <v>Fixed</v>
      </c>
      <c r="L73" s="25">
        <f t="shared" ref="L73:L85" si="39">ROUND(IF(K73="Fixed",J73,(J73*K73)),2)</f>
        <v>0.04</v>
      </c>
      <c r="N73" s="173">
        <f>INDEX(Input!$C$62:$AM$74,MATCH($A73,Input!$A$62:$A$74,0),MATCH(N$61,Input!$C$61:$AM$61,0))</f>
        <v>0.04</v>
      </c>
      <c r="O73" s="31" t="str">
        <f>IF(VLOOKUP($A73,Input!$A$62:$B$74,2,FALSE)="Percentage",P$70,IF(VLOOKUP($A73,Input!$A$62:$B$74,2,FALSE)="Fixed","Fixed",(O$70)))</f>
        <v>Fixed</v>
      </c>
      <c r="P73" s="25">
        <f t="shared" ref="P73:P85" si="40">ROUND(IF(O73="Fixed",N73,(N73*O73)),2)</f>
        <v>0.04</v>
      </c>
      <c r="R73" s="173">
        <f>INDEX(Input!$C$62:$AM$74,MATCH($A73,Input!$A$62:$A$74,0),MATCH(R$61,Input!$C$61:$AM$61,0))</f>
        <v>0.04</v>
      </c>
      <c r="S73" s="31" t="str">
        <f>IF(VLOOKUP($A73,Input!$A$62:$B$74,2,FALSE)="Percentage",T$70,IF(VLOOKUP($A73,Input!$A$62:$B$74,2,FALSE)="Fixed","Fixed",(S$70)))</f>
        <v>Fixed</v>
      </c>
      <c r="T73" s="25">
        <f t="shared" ref="T73:T85" si="41">ROUND(IF(S73="Fixed",R73,(R73*S73)),2)</f>
        <v>0.04</v>
      </c>
      <c r="V73" s="173">
        <f>INDEX(Input!$C$62:$AM$74,MATCH($A73,Input!$A$62:$A$74,0),MATCH(V$61,Input!$C$61:$AM$61,0))</f>
        <v>0.04</v>
      </c>
      <c r="W73" s="31" t="str">
        <f>IF(VLOOKUP($A73,Input!$A$62:$B$74,2,FALSE)="Percentage",X$70,IF(VLOOKUP($A73,Input!$A$62:$B$74,2,FALSE)="Fixed","Fixed",(W$70)))</f>
        <v>Fixed</v>
      </c>
      <c r="X73" s="25">
        <f t="shared" ref="X73:X85" si="42">ROUND(IF(W73="Fixed",V73,(V73*W73)),2)</f>
        <v>0.04</v>
      </c>
      <c r="Z73" s="173">
        <f>INDEX(Input!$C$62:$AM$74,MATCH($A73,Input!$A$62:$A$74,0),MATCH(Z$61,Input!$C$61:$AM$61,0))</f>
        <v>0.04</v>
      </c>
      <c r="AA73" s="31" t="str">
        <f>IF(VLOOKUP($A73,Input!$A$62:$B$74,2,FALSE)="Percentage",AB$70,IF(VLOOKUP($A73,Input!$A$62:$B$74,2,FALSE)="Fixed","Fixed",(AA$70)))</f>
        <v>Fixed</v>
      </c>
      <c r="AB73" s="25">
        <f t="shared" ref="AB73:AB85" si="43">ROUND(IF(AA73="Fixed",Z73,(Z73*AA73)),2)</f>
        <v>0.04</v>
      </c>
      <c r="AD73" s="173">
        <f>INDEX(Input!$C$62:$AM$74,MATCH($A73,Input!$A$62:$A$74,0),MATCH(AD$61,Input!$C$61:$AM$61,0))</f>
        <v>0.04</v>
      </c>
      <c r="AE73" s="31" t="str">
        <f>IF(VLOOKUP($A73,Input!$A$62:$B$74,2,FALSE)="Percentage",AF$70,IF(VLOOKUP($A73,Input!$A$62:$B$74,2,FALSE)="Fixed","Fixed",(AE$70)))</f>
        <v>Fixed</v>
      </c>
      <c r="AF73" s="25">
        <f t="shared" ref="AF73:AF85" si="44">ROUND(IF(AE73="Fixed",AD73,(AD73*AE73)),2)</f>
        <v>0.04</v>
      </c>
      <c r="AH73" s="173">
        <f>INDEX(Input!$C$62:$AM$74,MATCH($A73,Input!$A$62:$A$74,0),MATCH(AH$61,Input!$C$61:$AM$61,0))</f>
        <v>0.04</v>
      </c>
      <c r="AI73" s="31" t="str">
        <f>IF(VLOOKUP($A73,Input!$A$62:$B$74,2,FALSE)="Percentage",AJ$70,IF(VLOOKUP($A73,Input!$A$62:$B$74,2,FALSE)="Fixed","Fixed",(AI$70)))</f>
        <v>Fixed</v>
      </c>
      <c r="AJ73" s="25">
        <f t="shared" ref="AJ73:AJ85" si="45">ROUND(IF(AI73="Fixed",AH73,(AH73*AI73)),2)</f>
        <v>0.04</v>
      </c>
      <c r="AL73" s="173">
        <f>INDEX(Input!$C$62:$AM$74,MATCH($A73,Input!$A$62:$A$74,0),MATCH(AL$61,Input!$C$61:$AM$61,0))</f>
        <v>0.04</v>
      </c>
      <c r="AM73" s="31" t="str">
        <f>IF(VLOOKUP($A73,Input!$A$62:$B$74,2,FALSE)="Percentage",AN$70,IF(VLOOKUP($A73,Input!$A$62:$B$74,2,FALSE)="Fixed","Fixed",(AM$70)))</f>
        <v>Fixed</v>
      </c>
      <c r="AN73" s="25">
        <f t="shared" ref="AN73:AN85" si="46">ROUND(IF(AM73="Fixed",AL73,(AL73*AM73)),2)</f>
        <v>0.04</v>
      </c>
      <c r="AP73" s="173">
        <f>INDEX(Input!$C$62:$AM$74,MATCH($A73,Input!$A$62:$A$74,0),MATCH(AP$61,Input!$C$61:$AM$61,0))</f>
        <v>0.04</v>
      </c>
      <c r="AQ73" s="31" t="str">
        <f>IF(VLOOKUP($A73,Input!$A$62:$B$74,2,FALSE)="Percentage",AR$70,IF(VLOOKUP($A73,Input!$A$62:$B$74,2,FALSE)="Fixed","Fixed",(AQ$70)))</f>
        <v>Fixed</v>
      </c>
      <c r="AR73" s="25">
        <f t="shared" ref="AR73:AR85" si="47">ROUND(IF(AQ73="Fixed",AP73,(AP73*AQ73)),2)</f>
        <v>0.04</v>
      </c>
      <c r="AS73" s="30"/>
      <c r="AT73" s="173">
        <f>INDEX(Input!$C$62:$AM$74,MATCH($A73,Input!$A$62:$A$74,0),MATCH(AT$61,Input!$C$61:$AM$61,0))</f>
        <v>0.04</v>
      </c>
      <c r="AU73" s="31" t="str">
        <f>IF(VLOOKUP($A73,Input!$A$62:$B$74,2,FALSE)="Percentage",AV$70,IF(VLOOKUP($A73,Input!$A$62:$B$74,2,FALSE)="Fixed","Fixed",(AU$70)))</f>
        <v>Fixed</v>
      </c>
      <c r="AV73" s="25">
        <f t="shared" ref="AV73:AV85" si="48">ROUND(IF(AU73="Fixed",AT73,(AT73*AU73)),2)</f>
        <v>0.04</v>
      </c>
    </row>
    <row r="74" spans="1:48" x14ac:dyDescent="0.55000000000000004">
      <c r="A74" t="str">
        <f t="shared" si="36"/>
        <v>SRF 2</v>
      </c>
      <c r="B74" s="173">
        <f>INDEX(Input!$C$62:$AM$74,MATCH($A74,Input!$A$62:$A$74,0),MATCH(B$61,Input!$C$61:$AM$61,0))</f>
        <v>0.02</v>
      </c>
      <c r="C74" s="31" t="str">
        <f>IF(VLOOKUP($A74,Input!$A$62:$B$74,2,FALSE)="Percentage",D$70,IF(VLOOKUP($A74,Input!$A$62:$B$74,2,FALSE)="Fixed","Fixed",(C$70)))</f>
        <v>Fixed</v>
      </c>
      <c r="D74" s="25">
        <f t="shared" si="37"/>
        <v>0.02</v>
      </c>
      <c r="F74" s="173">
        <f>INDEX(Input!$C$62:$AM$74,MATCH($A74,Input!$A$62:$A$74,0),MATCH(F$61,Input!$C$61:$AM$61,0))</f>
        <v>0.02</v>
      </c>
      <c r="G74" s="31" t="str">
        <f>IF(VLOOKUP($A74,Input!$A$62:$B$74,2,FALSE)="Percentage",H$70,IF(VLOOKUP($A74,Input!$A$62:$B$74,2,FALSE)="Fixed","Fixed",(G$70)))</f>
        <v>Fixed</v>
      </c>
      <c r="H74" s="25">
        <f t="shared" si="38"/>
        <v>0.02</v>
      </c>
      <c r="J74" s="173">
        <f>INDEX(Input!$C$62:$AM$74,MATCH($A74,Input!$A$62:$A$74,0),MATCH(J$61,Input!$C$61:$AM$61,0))</f>
        <v>0.02</v>
      </c>
      <c r="K74" s="31" t="str">
        <f>IF(VLOOKUP($A74,Input!$A$62:$B$74,2,FALSE)="Percentage",L$70,IF(VLOOKUP($A74,Input!$A$62:$B$74,2,FALSE)="Fixed","Fixed",(K$70)))</f>
        <v>Fixed</v>
      </c>
      <c r="L74" s="25">
        <f t="shared" si="39"/>
        <v>0.02</v>
      </c>
      <c r="N74" s="173">
        <f>INDEX(Input!$C$62:$AM$74,MATCH($A74,Input!$A$62:$A$74,0),MATCH(N$61,Input!$C$61:$AM$61,0))</f>
        <v>0.02</v>
      </c>
      <c r="O74" s="31" t="str">
        <f>IF(VLOOKUP($A74,Input!$A$62:$B$74,2,FALSE)="Percentage",P$70,IF(VLOOKUP($A74,Input!$A$62:$B$74,2,FALSE)="Fixed","Fixed",(O$70)))</f>
        <v>Fixed</v>
      </c>
      <c r="P74" s="25">
        <f t="shared" si="40"/>
        <v>0.02</v>
      </c>
      <c r="R74" s="173">
        <f>INDEX(Input!$C$62:$AM$74,MATCH($A74,Input!$A$62:$A$74,0),MATCH(R$61,Input!$C$61:$AM$61,0))</f>
        <v>0.02</v>
      </c>
      <c r="S74" s="31" t="str">
        <f>IF(VLOOKUP($A74,Input!$A$62:$B$74,2,FALSE)="Percentage",T$70,IF(VLOOKUP($A74,Input!$A$62:$B$74,2,FALSE)="Fixed","Fixed",(S$70)))</f>
        <v>Fixed</v>
      </c>
      <c r="T74" s="25">
        <f t="shared" si="41"/>
        <v>0.02</v>
      </c>
      <c r="V74" s="173">
        <f>INDEX(Input!$C$62:$AM$74,MATCH($A74,Input!$A$62:$A$74,0),MATCH(V$61,Input!$C$61:$AM$61,0))</f>
        <v>0.02</v>
      </c>
      <c r="W74" s="31" t="str">
        <f>IF(VLOOKUP($A74,Input!$A$62:$B$74,2,FALSE)="Percentage",X$70,IF(VLOOKUP($A74,Input!$A$62:$B$74,2,FALSE)="Fixed","Fixed",(W$70)))</f>
        <v>Fixed</v>
      </c>
      <c r="X74" s="25">
        <f t="shared" si="42"/>
        <v>0.02</v>
      </c>
      <c r="Z74" s="173">
        <f>INDEX(Input!$C$62:$AM$74,MATCH($A74,Input!$A$62:$A$74,0),MATCH(Z$61,Input!$C$61:$AM$61,0))</f>
        <v>0.02</v>
      </c>
      <c r="AA74" s="31" t="str">
        <f>IF(VLOOKUP($A74,Input!$A$62:$B$74,2,FALSE)="Percentage",AB$70,IF(VLOOKUP($A74,Input!$A$62:$B$74,2,FALSE)="Fixed","Fixed",(AA$70)))</f>
        <v>Fixed</v>
      </c>
      <c r="AB74" s="25">
        <f t="shared" si="43"/>
        <v>0.02</v>
      </c>
      <c r="AD74" s="173">
        <f>INDEX(Input!$C$62:$AM$74,MATCH($A74,Input!$A$62:$A$74,0),MATCH(AD$61,Input!$C$61:$AM$61,0))</f>
        <v>0.02</v>
      </c>
      <c r="AE74" s="31" t="str">
        <f>IF(VLOOKUP($A74,Input!$A$62:$B$74,2,FALSE)="Percentage",AF$70,IF(VLOOKUP($A74,Input!$A$62:$B$74,2,FALSE)="Fixed","Fixed",(AE$70)))</f>
        <v>Fixed</v>
      </c>
      <c r="AF74" s="25">
        <f t="shared" si="44"/>
        <v>0.02</v>
      </c>
      <c r="AH74" s="173">
        <f>INDEX(Input!$C$62:$AM$74,MATCH($A74,Input!$A$62:$A$74,0),MATCH(AH$61,Input!$C$61:$AM$61,0))</f>
        <v>0.02</v>
      </c>
      <c r="AI74" s="31" t="str">
        <f>IF(VLOOKUP($A74,Input!$A$62:$B$74,2,FALSE)="Percentage",AJ$70,IF(VLOOKUP($A74,Input!$A$62:$B$74,2,FALSE)="Fixed","Fixed",(AI$70)))</f>
        <v>Fixed</v>
      </c>
      <c r="AJ74" s="25">
        <f t="shared" si="45"/>
        <v>0.02</v>
      </c>
      <c r="AL74" s="173">
        <f>INDEX(Input!$C$62:$AM$74,MATCH($A74,Input!$A$62:$A$74,0),MATCH(AL$61,Input!$C$61:$AM$61,0))</f>
        <v>0.02</v>
      </c>
      <c r="AM74" s="31" t="str">
        <f>IF(VLOOKUP($A74,Input!$A$62:$B$74,2,FALSE)="Percentage",AN$70,IF(VLOOKUP($A74,Input!$A$62:$B$74,2,FALSE)="Fixed","Fixed",(AM$70)))</f>
        <v>Fixed</v>
      </c>
      <c r="AN74" s="25">
        <f t="shared" si="46"/>
        <v>0.02</v>
      </c>
      <c r="AP74" s="173">
        <f>INDEX(Input!$C$62:$AM$74,MATCH($A74,Input!$A$62:$A$74,0),MATCH(AP$61,Input!$C$61:$AM$61,0))</f>
        <v>0.02</v>
      </c>
      <c r="AQ74" s="31" t="str">
        <f>IF(VLOOKUP($A74,Input!$A$62:$B$74,2,FALSE)="Percentage",AR$70,IF(VLOOKUP($A74,Input!$A$62:$B$74,2,FALSE)="Fixed","Fixed",(AQ$70)))</f>
        <v>Fixed</v>
      </c>
      <c r="AR74" s="25">
        <f t="shared" si="47"/>
        <v>0.02</v>
      </c>
      <c r="AS74" s="30"/>
      <c r="AT74" s="173">
        <f>INDEX(Input!$C$62:$AM$74,MATCH($A74,Input!$A$62:$A$74,0),MATCH(AT$61,Input!$C$61:$AM$61,0))</f>
        <v>0.02</v>
      </c>
      <c r="AU74" s="31" t="str">
        <f>IF(VLOOKUP($A74,Input!$A$62:$B$74,2,FALSE)="Percentage",AV$70,IF(VLOOKUP($A74,Input!$A$62:$B$74,2,FALSE)="Fixed","Fixed",(AU$70)))</f>
        <v>Fixed</v>
      </c>
      <c r="AV74" s="25">
        <f t="shared" si="48"/>
        <v>0.02</v>
      </c>
    </row>
    <row r="75" spans="1:48" x14ac:dyDescent="0.55000000000000004">
      <c r="A75" t="str">
        <f t="shared" si="36"/>
        <v>WRAP</v>
      </c>
      <c r="B75" s="173">
        <f>INDEX(Input!$C$62:$AM$74,MATCH($A75,Input!$A$62:$A$74,0),MATCH(B$61,Input!$C$61:$AM$61,0))</f>
        <v>-0.15</v>
      </c>
      <c r="C75" s="31">
        <f>IF(VLOOKUP($A75,Input!$A$62:$B$74,2,FALSE)="Percentage",D$70+D73+D74+D76,IF(VLOOKUP($A75,Input!$A$62:$B$74,2,FALSE)="Fixed","Fixed",(C$70)))</f>
        <v>111.30477235659757</v>
      </c>
      <c r="D75" s="25">
        <f t="shared" si="37"/>
        <v>-16.7</v>
      </c>
      <c r="F75" s="173">
        <f>INDEX(Input!$C$62:$AM$74,MATCH($A75,Input!$A$62:$A$74,0),MATCH(F$61,Input!$C$61:$AM$61,0))</f>
        <v>-0.15</v>
      </c>
      <c r="G75" s="31">
        <f>IF(VLOOKUP($A75,Input!$A$62:$B$74,2,FALSE)="Percentage",H$70+H73+H74+H76,IF(VLOOKUP($A75,Input!$A$62:$B$74,2,FALSE)="Fixed","Fixed",(G$70)))</f>
        <v>111.30477235659757</v>
      </c>
      <c r="H75" s="25">
        <f t="shared" si="38"/>
        <v>-16.7</v>
      </c>
      <c r="J75" s="173">
        <f>INDEX(Input!$C$62:$AM$74,MATCH($A75,Input!$A$62:$A$74,0),MATCH(J$61,Input!$C$61:$AM$61,0))</f>
        <v>-0.15</v>
      </c>
      <c r="K75" s="31">
        <f>IF(VLOOKUP($A75,Input!$A$62:$B$74,2,FALSE)="Percentage",L$70+L73+L74+L76,IF(VLOOKUP($A75,Input!$A$62:$B$74,2,FALSE)="Fixed","Fixed",(K$70)))</f>
        <v>111.30477235659757</v>
      </c>
      <c r="L75" s="25">
        <f t="shared" si="39"/>
        <v>-16.7</v>
      </c>
      <c r="N75" s="173">
        <f>INDEX(Input!$C$62:$AM$74,MATCH($A75,Input!$A$62:$A$74,0),MATCH(N$61,Input!$C$61:$AM$61,0))</f>
        <v>-0.15</v>
      </c>
      <c r="O75" s="31">
        <f>IF(VLOOKUP($A75,Input!$A$62:$B$74,2,FALSE)="Percentage",P$70+P73+P74+P76,IF(VLOOKUP($A75,Input!$A$62:$B$74,2,FALSE)="Fixed","Fixed",(O$70)))</f>
        <v>111.30477235659757</v>
      </c>
      <c r="P75" s="25">
        <f t="shared" si="40"/>
        <v>-16.7</v>
      </c>
      <c r="R75" s="173">
        <f>INDEX(Input!$C$62:$AM$74,MATCH($A75,Input!$A$62:$A$74,0),MATCH(R$61,Input!$C$61:$AM$61,0))</f>
        <v>-0.15</v>
      </c>
      <c r="S75" s="31">
        <f>IF(VLOOKUP($A75,Input!$A$62:$B$74,2,FALSE)="Percentage",T$70+T73+T74+T76,IF(VLOOKUP($A75,Input!$A$62:$B$74,2,FALSE)="Fixed","Fixed",(S$70)))</f>
        <v>111.30477235659757</v>
      </c>
      <c r="T75" s="25">
        <f t="shared" si="41"/>
        <v>-16.7</v>
      </c>
      <c r="V75" s="173">
        <f>INDEX(Input!$C$62:$AM$74,MATCH($A75,Input!$A$62:$A$74,0),MATCH(V$61,Input!$C$61:$AM$61,0))</f>
        <v>-0.15</v>
      </c>
      <c r="W75" s="31">
        <f>IF(VLOOKUP($A75,Input!$A$62:$B$74,2,FALSE)="Percentage",X$70+X73+X74+X76,IF(VLOOKUP($A75,Input!$A$62:$B$74,2,FALSE)="Fixed","Fixed",(W$70)))</f>
        <v>111.30477235659757</v>
      </c>
      <c r="X75" s="25">
        <f t="shared" si="42"/>
        <v>-16.7</v>
      </c>
      <c r="Z75" s="173">
        <f>INDEX(Input!$C$62:$AM$74,MATCH($A75,Input!$A$62:$A$74,0),MATCH(Z$61,Input!$C$61:$AM$61,0))</f>
        <v>-0.15</v>
      </c>
      <c r="AA75" s="31">
        <f>IF(VLOOKUP($A75,Input!$A$62:$B$74,2,FALSE)="Percentage",AB$70+AB73+AB74+AB76,IF(VLOOKUP($A75,Input!$A$62:$B$74,2,FALSE)="Fixed","Fixed",(AA$70)))</f>
        <v>111.30477235659757</v>
      </c>
      <c r="AB75" s="25">
        <f t="shared" si="43"/>
        <v>-16.7</v>
      </c>
      <c r="AD75" s="173">
        <f>INDEX(Input!$C$62:$AM$74,MATCH($A75,Input!$A$62:$A$74,0),MATCH(AD$61,Input!$C$61:$AM$61,0))</f>
        <v>-0.15</v>
      </c>
      <c r="AE75" s="31">
        <f>IF(VLOOKUP($A75,Input!$A$62:$B$74,2,FALSE)="Percentage",AF$70+AF73+AF74+AF76,IF(VLOOKUP($A75,Input!$A$62:$B$74,2,FALSE)="Fixed","Fixed",(AE$70)))</f>
        <v>111.30477235659757</v>
      </c>
      <c r="AF75" s="25">
        <f t="shared" si="44"/>
        <v>-16.7</v>
      </c>
      <c r="AH75" s="173">
        <f>INDEX(Input!$C$62:$AM$74,MATCH($A75,Input!$A$62:$A$74,0),MATCH(AH$61,Input!$C$61:$AM$61,0))</f>
        <v>-0.15</v>
      </c>
      <c r="AI75" s="31">
        <f>IF(VLOOKUP($A75,Input!$A$62:$B$74,2,FALSE)="Percentage",AJ$70+AJ73+AJ74+AJ76,IF(VLOOKUP($A75,Input!$A$62:$B$74,2,FALSE)="Fixed","Fixed",(AI$70)))</f>
        <v>111.30477235659757</v>
      </c>
      <c r="AJ75" s="25">
        <f t="shared" si="45"/>
        <v>-16.7</v>
      </c>
      <c r="AL75" s="173">
        <f>INDEX(Input!$C$62:$AM$74,MATCH($A75,Input!$A$62:$A$74,0),MATCH(AL$61,Input!$C$61:$AM$61,0))</f>
        <v>-0.15</v>
      </c>
      <c r="AM75" s="31">
        <f>IF(VLOOKUP($A75,Input!$A$62:$B$74,2,FALSE)="Percentage",AN$70+AN73+AN74+AN76,IF(VLOOKUP($A75,Input!$A$62:$B$74,2,FALSE)="Fixed","Fixed",(AM$70)))</f>
        <v>111.30477235659757</v>
      </c>
      <c r="AN75" s="25">
        <f t="shared" si="46"/>
        <v>-16.7</v>
      </c>
      <c r="AP75" s="173">
        <f>INDEX(Input!$C$62:$AM$74,MATCH($A75,Input!$A$62:$A$74,0),MATCH(AP$61,Input!$C$61:$AM$61,0))</f>
        <v>-0.15</v>
      </c>
      <c r="AQ75" s="31">
        <f>IF(VLOOKUP($A75,Input!$A$62:$B$74,2,FALSE)="Percentage",AR$70+AR73+AR74+AR76,IF(VLOOKUP($A75,Input!$A$62:$B$74,2,FALSE)="Fixed","Fixed",(AQ$70)))</f>
        <v>111.30477235659757</v>
      </c>
      <c r="AR75" s="25">
        <f t="shared" si="47"/>
        <v>-16.7</v>
      </c>
      <c r="AS75" s="30"/>
      <c r="AT75" s="173">
        <f>INDEX(Input!$C$62:$AM$74,MATCH($A75,Input!$A$62:$A$74,0),MATCH(AT$61,Input!$C$61:$AM$61,0))</f>
        <v>-0.15</v>
      </c>
      <c r="AU75" s="31">
        <f>IF(VLOOKUP($A75,Input!$A$62:$B$74,2,FALSE)="Percentage",AV$70+AV73+AV74+AV76,IF(VLOOKUP($A75,Input!$A$62:$B$74,2,FALSE)="Fixed","Fixed",(AU$70)))</f>
        <v>111.30477235659757</v>
      </c>
      <c r="AV75" s="25">
        <f t="shared" si="48"/>
        <v>-16.7</v>
      </c>
    </row>
    <row r="76" spans="1:48" x14ac:dyDescent="0.55000000000000004">
      <c r="A76" t="str">
        <f t="shared" si="36"/>
        <v>PRVMA</v>
      </c>
      <c r="B76" s="173">
        <f>INDEX(Input!$C$62:$AM$74,MATCH($A76,Input!$A$62:$A$74,0),MATCH(B$61,Input!$C$61:$AM$61,0))</f>
        <v>8.8400000000000006E-3</v>
      </c>
      <c r="C76" s="31">
        <f>IF(VLOOKUP($A76,Input!$A$62:$B$74,2,FALSE)="Percentage",D$70,IF(VLOOKUP($A76,Input!$A$62:$B$74,2,FALSE)="Fixed","Fixed",(C$70)))</f>
        <v>11</v>
      </c>
      <c r="D76" s="25">
        <f t="shared" si="37"/>
        <v>0.1</v>
      </c>
      <c r="F76" s="173">
        <f>INDEX(Input!$C$62:$AM$74,MATCH($A76,Input!$A$62:$A$74,0),MATCH(F$61,Input!$C$61:$AM$61,0))</f>
        <v>8.8400000000000006E-3</v>
      </c>
      <c r="G76" s="31">
        <f>IF(VLOOKUP($A76,Input!$A$62:$B$74,2,FALSE)="Percentage",H$70,IF(VLOOKUP($A76,Input!$A$62:$B$74,2,FALSE)="Fixed","Fixed",(G$70)))</f>
        <v>11</v>
      </c>
      <c r="H76" s="25">
        <f t="shared" si="38"/>
        <v>0.1</v>
      </c>
      <c r="J76" s="173">
        <f>INDEX(Input!$C$62:$AM$74,MATCH($A76,Input!$A$62:$A$74,0),MATCH(J$61,Input!$C$61:$AM$61,0))</f>
        <v>8.8400000000000006E-3</v>
      </c>
      <c r="K76" s="31">
        <f>IF(VLOOKUP($A76,Input!$A$62:$B$74,2,FALSE)="Percentage",L$70,IF(VLOOKUP($A76,Input!$A$62:$B$74,2,FALSE)="Fixed","Fixed",(K$70)))</f>
        <v>11</v>
      </c>
      <c r="L76" s="25">
        <f t="shared" si="39"/>
        <v>0.1</v>
      </c>
      <c r="N76" s="173">
        <f>INDEX(Input!$C$62:$AM$74,MATCH($A76,Input!$A$62:$A$74,0),MATCH(N$61,Input!$C$61:$AM$61,0))</f>
        <v>8.8400000000000006E-3</v>
      </c>
      <c r="O76" s="31">
        <f>IF(VLOOKUP($A76,Input!$A$62:$B$74,2,FALSE)="Percentage",P$70,IF(VLOOKUP($A76,Input!$A$62:$B$74,2,FALSE)="Fixed","Fixed",(O$70)))</f>
        <v>11</v>
      </c>
      <c r="P76" s="25">
        <f t="shared" si="40"/>
        <v>0.1</v>
      </c>
      <c r="R76" s="173">
        <f>INDEX(Input!$C$62:$AM$74,MATCH($A76,Input!$A$62:$A$74,0),MATCH(R$61,Input!$C$61:$AM$61,0))</f>
        <v>8.8400000000000006E-3</v>
      </c>
      <c r="S76" s="31">
        <f>IF(VLOOKUP($A76,Input!$A$62:$B$74,2,FALSE)="Percentage",T$70,IF(VLOOKUP($A76,Input!$A$62:$B$74,2,FALSE)="Fixed","Fixed",(S$70)))</f>
        <v>11</v>
      </c>
      <c r="T76" s="25">
        <f t="shared" si="41"/>
        <v>0.1</v>
      </c>
      <c r="V76" s="173">
        <f>INDEX(Input!$C$62:$AM$74,MATCH($A76,Input!$A$62:$A$74,0),MATCH(V$61,Input!$C$61:$AM$61,0))</f>
        <v>8.8400000000000006E-3</v>
      </c>
      <c r="W76" s="31">
        <f>IF(VLOOKUP($A76,Input!$A$62:$B$74,2,FALSE)="Percentage",X$70,IF(VLOOKUP($A76,Input!$A$62:$B$74,2,FALSE)="Fixed","Fixed",(W$70)))</f>
        <v>11</v>
      </c>
      <c r="X76" s="25">
        <f t="shared" si="42"/>
        <v>0.1</v>
      </c>
      <c r="Z76" s="173">
        <f>INDEX(Input!$C$62:$AM$74,MATCH($A76,Input!$A$62:$A$74,0),MATCH(Z$61,Input!$C$61:$AM$61,0))</f>
        <v>8.8400000000000006E-3</v>
      </c>
      <c r="AA76" s="31">
        <f>IF(VLOOKUP($A76,Input!$A$62:$B$74,2,FALSE)="Percentage",AB$70,IF(VLOOKUP($A76,Input!$A$62:$B$74,2,FALSE)="Fixed","Fixed",(AA$70)))</f>
        <v>11</v>
      </c>
      <c r="AB76" s="25">
        <f t="shared" si="43"/>
        <v>0.1</v>
      </c>
      <c r="AD76" s="173">
        <f>INDEX(Input!$C$62:$AM$74,MATCH($A76,Input!$A$62:$A$74,0),MATCH(AD$61,Input!$C$61:$AM$61,0))</f>
        <v>8.8400000000000006E-3</v>
      </c>
      <c r="AE76" s="31">
        <f>IF(VLOOKUP($A76,Input!$A$62:$B$74,2,FALSE)="Percentage",AF$70,IF(VLOOKUP($A76,Input!$A$62:$B$74,2,FALSE)="Fixed","Fixed",(AE$70)))</f>
        <v>11</v>
      </c>
      <c r="AF76" s="25">
        <f t="shared" si="44"/>
        <v>0.1</v>
      </c>
      <c r="AH76" s="173">
        <f>INDEX(Input!$C$62:$AM$74,MATCH($A76,Input!$A$62:$A$74,0),MATCH(AH$61,Input!$C$61:$AM$61,0))</f>
        <v>8.8400000000000006E-3</v>
      </c>
      <c r="AI76" s="31">
        <f>IF(VLOOKUP($A76,Input!$A$62:$B$74,2,FALSE)="Percentage",AJ$70,IF(VLOOKUP($A76,Input!$A$62:$B$74,2,FALSE)="Fixed","Fixed",(AI$70)))</f>
        <v>11</v>
      </c>
      <c r="AJ76" s="25">
        <f t="shared" si="45"/>
        <v>0.1</v>
      </c>
      <c r="AL76" s="173">
        <f>INDEX(Input!$C$62:$AM$74,MATCH($A76,Input!$A$62:$A$74,0),MATCH(AL$61,Input!$C$61:$AM$61,0))</f>
        <v>8.8400000000000006E-3</v>
      </c>
      <c r="AM76" s="31">
        <f>IF(VLOOKUP($A76,Input!$A$62:$B$74,2,FALSE)="Percentage",AN$70,IF(VLOOKUP($A76,Input!$A$62:$B$74,2,FALSE)="Fixed","Fixed",(AM$70)))</f>
        <v>11</v>
      </c>
      <c r="AN76" s="25">
        <f t="shared" si="46"/>
        <v>0.1</v>
      </c>
      <c r="AP76" s="173">
        <f>INDEX(Input!$C$62:$AM$74,MATCH($A76,Input!$A$62:$A$74,0),MATCH(AP$61,Input!$C$61:$AM$61,0))</f>
        <v>8.8400000000000006E-3</v>
      </c>
      <c r="AQ76" s="31">
        <f>IF(VLOOKUP($A76,Input!$A$62:$B$74,2,FALSE)="Percentage",AR$70,IF(VLOOKUP($A76,Input!$A$62:$B$74,2,FALSE)="Fixed","Fixed",(AQ$70)))</f>
        <v>11</v>
      </c>
      <c r="AR76" s="25">
        <f t="shared" si="47"/>
        <v>0.1</v>
      </c>
      <c r="AS76" s="30"/>
      <c r="AT76" s="173">
        <f>INDEX(Input!$C$62:$AM$74,MATCH($A76,Input!$A$62:$A$74,0),MATCH(AT$61,Input!$C$61:$AM$61,0))</f>
        <v>8.8400000000000006E-3</v>
      </c>
      <c r="AU76" s="31">
        <f>IF(VLOOKUP($A76,Input!$A$62:$B$74,2,FALSE)="Percentage",AV$70,IF(VLOOKUP($A76,Input!$A$62:$B$74,2,FALSE)="Fixed","Fixed",(AU$70)))</f>
        <v>11</v>
      </c>
      <c r="AV76" s="25">
        <f t="shared" si="48"/>
        <v>0.1</v>
      </c>
    </row>
    <row r="77" spans="1:48" x14ac:dyDescent="0.55000000000000004">
      <c r="A77" t="str">
        <f t="shared" si="36"/>
        <v>2022 Surcredit</v>
      </c>
      <c r="B77" s="173">
        <f>INDEX(Input!$C$62:$AM$74,MATCH($A77,Input!$A$62:$A$74,0),MATCH(B$61,Input!$C$61:$AM$61,0))</f>
        <v>0</v>
      </c>
      <c r="C77" s="31" t="str">
        <f>IF(VLOOKUP($A77,Input!$A$62:$B$74,2,FALSE)="Percentage",D$70,IF(VLOOKUP($A77,Input!$A$62:$B$74,2,FALSE)="Fixed","Fixed",(C$70)))</f>
        <v>Fixed</v>
      </c>
      <c r="D77" s="25">
        <f t="shared" si="37"/>
        <v>0</v>
      </c>
      <c r="F77" s="173">
        <f>INDEX(Input!$C$62:$AM$74,MATCH($A77,Input!$A$62:$A$74,0),MATCH(F$61,Input!$C$61:$AM$61,0))</f>
        <v>0</v>
      </c>
      <c r="G77" s="31" t="str">
        <f>IF(VLOOKUP($A77,Input!$A$62:$B$74,2,FALSE)="Percentage",H$70,IF(VLOOKUP($A77,Input!$A$62:$B$74,2,FALSE)="Fixed","Fixed",(G$70)))</f>
        <v>Fixed</v>
      </c>
      <c r="H77" s="25">
        <f t="shared" si="38"/>
        <v>0</v>
      </c>
      <c r="J77" s="173">
        <f>INDEX(Input!$C$62:$AM$74,MATCH($A77,Input!$A$62:$A$74,0),MATCH(J$61,Input!$C$61:$AM$61,0))</f>
        <v>0</v>
      </c>
      <c r="K77" s="31" t="str">
        <f>IF(VLOOKUP($A77,Input!$A$62:$B$74,2,FALSE)="Percentage",L$70,IF(VLOOKUP($A77,Input!$A$62:$B$74,2,FALSE)="Fixed","Fixed",(K$70)))</f>
        <v>Fixed</v>
      </c>
      <c r="L77" s="25">
        <f t="shared" si="39"/>
        <v>0</v>
      </c>
      <c r="N77" s="173">
        <f>INDEX(Input!$C$62:$AM$74,MATCH($A77,Input!$A$62:$A$74,0),MATCH(N$61,Input!$C$61:$AM$61,0))</f>
        <v>0</v>
      </c>
      <c r="O77" s="31" t="str">
        <f>IF(VLOOKUP($A77,Input!$A$62:$B$74,2,FALSE)="Percentage",P$70,IF(VLOOKUP($A77,Input!$A$62:$B$74,2,FALSE)="Fixed","Fixed",(O$70)))</f>
        <v>Fixed</v>
      </c>
      <c r="P77" s="25">
        <f t="shared" si="40"/>
        <v>0</v>
      </c>
      <c r="R77" s="173">
        <f>INDEX(Input!$C$62:$AM$74,MATCH($A77,Input!$A$62:$A$74,0),MATCH(R$61,Input!$C$61:$AM$61,0))</f>
        <v>0</v>
      </c>
      <c r="S77" s="31" t="str">
        <f>IF(VLOOKUP($A77,Input!$A$62:$B$74,2,FALSE)="Percentage",T$70,IF(VLOOKUP($A77,Input!$A$62:$B$74,2,FALSE)="Fixed","Fixed",(S$70)))</f>
        <v>Fixed</v>
      </c>
      <c r="T77" s="25">
        <f t="shared" si="41"/>
        <v>0</v>
      </c>
      <c r="V77" s="173">
        <f>INDEX(Input!$C$62:$AM$74,MATCH($A77,Input!$A$62:$A$74,0),MATCH(V$61,Input!$C$61:$AM$61,0))</f>
        <v>0</v>
      </c>
      <c r="W77" s="31" t="str">
        <f>IF(VLOOKUP($A77,Input!$A$62:$B$74,2,FALSE)="Percentage",X$70,IF(VLOOKUP($A77,Input!$A$62:$B$74,2,FALSE)="Fixed","Fixed",(W$70)))</f>
        <v>Fixed</v>
      </c>
      <c r="X77" s="25">
        <f t="shared" si="42"/>
        <v>0</v>
      </c>
      <c r="Z77" s="173">
        <f>INDEX(Input!$C$62:$AM$74,MATCH($A77,Input!$A$62:$A$74,0),MATCH(Z$61,Input!$C$61:$AM$61,0))</f>
        <v>0</v>
      </c>
      <c r="AA77" s="31" t="str">
        <f>IF(VLOOKUP($A77,Input!$A$62:$B$74,2,FALSE)="Percentage",AB$70,IF(VLOOKUP($A77,Input!$A$62:$B$74,2,FALSE)="Fixed","Fixed",(AA$70)))</f>
        <v>Fixed</v>
      </c>
      <c r="AB77" s="25">
        <f t="shared" si="43"/>
        <v>0</v>
      </c>
      <c r="AD77" s="173">
        <f>INDEX(Input!$C$62:$AM$74,MATCH($A77,Input!$A$62:$A$74,0),MATCH(AD$61,Input!$C$61:$AM$61,0))</f>
        <v>0</v>
      </c>
      <c r="AE77" s="31" t="str">
        <f>IF(VLOOKUP($A77,Input!$A$62:$B$74,2,FALSE)="Percentage",AF$70,IF(VLOOKUP($A77,Input!$A$62:$B$74,2,FALSE)="Fixed","Fixed",(AE$70)))</f>
        <v>Fixed</v>
      </c>
      <c r="AF77" s="25">
        <f t="shared" si="44"/>
        <v>0</v>
      </c>
      <c r="AH77" s="173">
        <f>INDEX(Input!$C$62:$AM$74,MATCH($A77,Input!$A$62:$A$74,0),MATCH(AH$61,Input!$C$61:$AM$61,0))</f>
        <v>0</v>
      </c>
      <c r="AI77" s="31" t="str">
        <f>IF(VLOOKUP($A77,Input!$A$62:$B$74,2,FALSE)="Percentage",AJ$70,IF(VLOOKUP($A77,Input!$A$62:$B$74,2,FALSE)="Fixed","Fixed",(AI$70)))</f>
        <v>Fixed</v>
      </c>
      <c r="AJ77" s="25">
        <f t="shared" si="45"/>
        <v>0</v>
      </c>
      <c r="AL77" s="173">
        <f>INDEX(Input!$C$62:$AM$74,MATCH($A77,Input!$A$62:$A$74,0),MATCH(AL$61,Input!$C$61:$AM$61,0))</f>
        <v>0</v>
      </c>
      <c r="AM77" s="31" t="str">
        <f>IF(VLOOKUP($A77,Input!$A$62:$B$74,2,FALSE)="Percentage",AN$70,IF(VLOOKUP($A77,Input!$A$62:$B$74,2,FALSE)="Fixed","Fixed",(AM$70)))</f>
        <v>Fixed</v>
      </c>
      <c r="AN77" s="25">
        <f t="shared" si="46"/>
        <v>0</v>
      </c>
      <c r="AP77" s="173">
        <f>INDEX(Input!$C$62:$AM$74,MATCH($A77,Input!$A$62:$A$74,0),MATCH(AP$61,Input!$C$61:$AM$61,0))</f>
        <v>0</v>
      </c>
      <c r="AQ77" s="31" t="str">
        <f>IF(VLOOKUP($A77,Input!$A$62:$B$74,2,FALSE)="Percentage",AR$70,IF(VLOOKUP($A77,Input!$A$62:$B$74,2,FALSE)="Fixed","Fixed",(AQ$70)))</f>
        <v>Fixed</v>
      </c>
      <c r="AR77" s="25">
        <f t="shared" si="47"/>
        <v>0</v>
      </c>
      <c r="AS77" s="30"/>
      <c r="AT77" s="173">
        <f>INDEX(Input!$C$62:$AM$74,MATCH($A77,Input!$A$62:$A$74,0),MATCH(AT$61,Input!$C$61:$AM$61,0))</f>
        <v>0</v>
      </c>
      <c r="AU77" s="31" t="str">
        <f>IF(VLOOKUP($A77,Input!$A$62:$B$74,2,FALSE)="Percentage",AV$70,IF(VLOOKUP($A77,Input!$A$62:$B$74,2,FALSE)="Fixed","Fixed",(AU$70)))</f>
        <v>Fixed</v>
      </c>
      <c r="AV77" s="25">
        <f t="shared" si="48"/>
        <v>0</v>
      </c>
    </row>
    <row r="78" spans="1:48" x14ac:dyDescent="0.55000000000000004">
      <c r="A78" t="str">
        <f t="shared" si="36"/>
        <v>Interim Memo Account Surcharge</v>
      </c>
      <c r="B78" s="173">
        <f>INDEX(Input!$C$62:$AM$74,MATCH($A78,Input!$A$62:$A$74,0),MATCH(B$61,Input!$C$61:$AM$61,0))</f>
        <v>0</v>
      </c>
      <c r="C78" s="31">
        <f>IF(VLOOKUP($A78,Input!$A$62:$B$74,2,FALSE)="Percentage",D$70,IF(VLOOKUP($A78,Input!$A$62:$B$74,2,FALSE)="Fixed","Fixed",(C$70)))</f>
        <v>11</v>
      </c>
      <c r="D78" s="25">
        <f t="shared" si="37"/>
        <v>0</v>
      </c>
      <c r="F78" s="173">
        <f>INDEX(Input!$C$62:$AM$74,MATCH($A78,Input!$A$62:$A$74,0),MATCH(F$61,Input!$C$61:$AM$61,0))</f>
        <v>0</v>
      </c>
      <c r="G78" s="31">
        <f>IF(VLOOKUP($A78,Input!$A$62:$B$74,2,FALSE)="Percentage",H$70,IF(VLOOKUP($A78,Input!$A$62:$B$74,2,FALSE)="Fixed","Fixed",(G$70)))</f>
        <v>11</v>
      </c>
      <c r="H78" s="25">
        <f t="shared" si="38"/>
        <v>0</v>
      </c>
      <c r="J78" s="173">
        <f>INDEX(Input!$C$62:$AM$74,MATCH($A78,Input!$A$62:$A$74,0),MATCH(J$61,Input!$C$61:$AM$61,0))</f>
        <v>0</v>
      </c>
      <c r="K78" s="31">
        <f>IF(VLOOKUP($A78,Input!$A$62:$B$74,2,FALSE)="Percentage",L$70,IF(VLOOKUP($A78,Input!$A$62:$B$74,2,FALSE)="Fixed","Fixed",(K$70)))</f>
        <v>11</v>
      </c>
      <c r="L78" s="25">
        <f t="shared" si="39"/>
        <v>0</v>
      </c>
      <c r="N78" s="173">
        <f>INDEX(Input!$C$62:$AM$74,MATCH($A78,Input!$A$62:$A$74,0),MATCH(N$61,Input!$C$61:$AM$61,0))</f>
        <v>0</v>
      </c>
      <c r="O78" s="31">
        <f>IF(VLOOKUP($A78,Input!$A$62:$B$74,2,FALSE)="Percentage",P$70,IF(VLOOKUP($A78,Input!$A$62:$B$74,2,FALSE)="Fixed","Fixed",(O$70)))</f>
        <v>11</v>
      </c>
      <c r="P78" s="25">
        <f t="shared" si="40"/>
        <v>0</v>
      </c>
      <c r="R78" s="173">
        <f>INDEX(Input!$C$62:$AM$74,MATCH($A78,Input!$A$62:$A$74,0),MATCH(R$61,Input!$C$61:$AM$61,0))</f>
        <v>0</v>
      </c>
      <c r="S78" s="31">
        <f>IF(VLOOKUP($A78,Input!$A$62:$B$74,2,FALSE)="Percentage",T$70,IF(VLOOKUP($A78,Input!$A$62:$B$74,2,FALSE)="Fixed","Fixed",(S$70)))</f>
        <v>11</v>
      </c>
      <c r="T78" s="25">
        <f t="shared" si="41"/>
        <v>0</v>
      </c>
      <c r="V78" s="173">
        <f>INDEX(Input!$C$62:$AM$74,MATCH($A78,Input!$A$62:$A$74,0),MATCH(V$61,Input!$C$61:$AM$61,0))</f>
        <v>0</v>
      </c>
      <c r="W78" s="31">
        <f>IF(VLOOKUP($A78,Input!$A$62:$B$74,2,FALSE)="Percentage",X$70,IF(VLOOKUP($A78,Input!$A$62:$B$74,2,FALSE)="Fixed","Fixed",(W$70)))</f>
        <v>11</v>
      </c>
      <c r="X78" s="25">
        <f t="shared" si="42"/>
        <v>0</v>
      </c>
      <c r="Z78" s="173">
        <f>INDEX(Input!$C$62:$AM$74,MATCH($A78,Input!$A$62:$A$74,0),MATCH(Z$61,Input!$C$61:$AM$61,0))</f>
        <v>0</v>
      </c>
      <c r="AA78" s="31">
        <f>IF(VLOOKUP($A78,Input!$A$62:$B$74,2,FALSE)="Percentage",AB$70,IF(VLOOKUP($A78,Input!$A$62:$B$74,2,FALSE)="Fixed","Fixed",(AA$70)))</f>
        <v>11</v>
      </c>
      <c r="AB78" s="25">
        <f t="shared" si="43"/>
        <v>0</v>
      </c>
      <c r="AD78" s="173">
        <f>INDEX(Input!$C$62:$AM$74,MATCH($A78,Input!$A$62:$A$74,0),MATCH(AD$61,Input!$C$61:$AM$61,0))</f>
        <v>0</v>
      </c>
      <c r="AE78" s="31">
        <f>IF(VLOOKUP($A78,Input!$A$62:$B$74,2,FALSE)="Percentage",AF$70,IF(VLOOKUP($A78,Input!$A$62:$B$74,2,FALSE)="Fixed","Fixed",(AE$70)))</f>
        <v>11</v>
      </c>
      <c r="AF78" s="25">
        <f t="shared" si="44"/>
        <v>0</v>
      </c>
      <c r="AH78" s="173">
        <f>INDEX(Input!$C$62:$AM$74,MATCH($A78,Input!$A$62:$A$74,0),MATCH(AH$61,Input!$C$61:$AM$61,0))</f>
        <v>0</v>
      </c>
      <c r="AI78" s="31">
        <f>IF(VLOOKUP($A78,Input!$A$62:$B$74,2,FALSE)="Percentage",AJ$70,IF(VLOOKUP($A78,Input!$A$62:$B$74,2,FALSE)="Fixed","Fixed",(AI$70)))</f>
        <v>11</v>
      </c>
      <c r="AJ78" s="25">
        <f t="shared" si="45"/>
        <v>0</v>
      </c>
      <c r="AL78" s="173">
        <f>INDEX(Input!$C$62:$AM$74,MATCH($A78,Input!$A$62:$A$74,0),MATCH(AL$61,Input!$C$61:$AM$61,0))</f>
        <v>0</v>
      </c>
      <c r="AM78" s="31">
        <f>IF(VLOOKUP($A78,Input!$A$62:$B$74,2,FALSE)="Percentage",AN$70,IF(VLOOKUP($A78,Input!$A$62:$B$74,2,FALSE)="Fixed","Fixed",(AM$70)))</f>
        <v>11</v>
      </c>
      <c r="AN78" s="25">
        <f t="shared" si="46"/>
        <v>0</v>
      </c>
      <c r="AP78" s="173">
        <f>INDEX(Input!$C$62:$AM$74,MATCH($A78,Input!$A$62:$A$74,0),MATCH(AP$61,Input!$C$61:$AM$61,0))</f>
        <v>0</v>
      </c>
      <c r="AQ78" s="31">
        <f>IF(VLOOKUP($A78,Input!$A$62:$B$74,2,FALSE)="Percentage",AR$70,IF(VLOOKUP($A78,Input!$A$62:$B$74,2,FALSE)="Fixed","Fixed",(AQ$70)))</f>
        <v>11</v>
      </c>
      <c r="AR78" s="25">
        <f t="shared" si="47"/>
        <v>0</v>
      </c>
      <c r="AS78" s="30"/>
      <c r="AT78" s="173">
        <f>INDEX(Input!$C$62:$AM$74,MATCH($A78,Input!$A$62:$A$74,0),MATCH(AT$61,Input!$C$61:$AM$61,0))</f>
        <v>0</v>
      </c>
      <c r="AU78" s="31">
        <f>IF(VLOOKUP($A78,Input!$A$62:$B$74,2,FALSE)="Percentage",AV$70,IF(VLOOKUP($A78,Input!$A$62:$B$74,2,FALSE)="Fixed","Fixed",(AU$70)))</f>
        <v>11</v>
      </c>
      <c r="AV78" s="25">
        <f t="shared" si="48"/>
        <v>0</v>
      </c>
    </row>
    <row r="79" spans="1:48" x14ac:dyDescent="0.55000000000000004">
      <c r="A79">
        <f t="shared" si="36"/>
        <v>0</v>
      </c>
      <c r="B79" s="173">
        <f>INDEX(Input!$C$62:$AM$74,MATCH($A79,Input!$A$62:$A$74,0),MATCH(B$61,Input!$C$61:$AM$61,0))</f>
        <v>0</v>
      </c>
      <c r="C79" s="31">
        <f>IF(VLOOKUP($A79,Input!$A$62:$B$74,2,FALSE)="Percentage",D$70,IF(VLOOKUP($A79,Input!$A$62:$B$74,2,FALSE)="Fixed","Fixed",(C$70)))</f>
        <v>11</v>
      </c>
      <c r="D79" s="25">
        <f t="shared" si="37"/>
        <v>0</v>
      </c>
      <c r="F79" s="173">
        <f>INDEX(Input!$C$62:$AM$74,MATCH($A79,Input!$A$62:$A$74,0),MATCH(F$61,Input!$C$61:$AM$61,0))</f>
        <v>0</v>
      </c>
      <c r="G79" s="31">
        <f>IF(VLOOKUP($A79,Input!$A$62:$B$74,2,FALSE)="Percentage",H$70,IF(VLOOKUP($A79,Input!$A$62:$B$74,2,FALSE)="Fixed","Fixed",(G$70)))</f>
        <v>11</v>
      </c>
      <c r="H79" s="25">
        <f t="shared" si="38"/>
        <v>0</v>
      </c>
      <c r="J79" s="173">
        <f>INDEX(Input!$C$62:$AM$74,MATCH($A79,Input!$A$62:$A$74,0),MATCH(J$61,Input!$C$61:$AM$61,0))</f>
        <v>0</v>
      </c>
      <c r="K79" s="31">
        <f>IF(VLOOKUP($A79,Input!$A$62:$B$74,2,FALSE)="Percentage",L$70,IF(VLOOKUP($A79,Input!$A$62:$B$74,2,FALSE)="Fixed","Fixed",(K$70)))</f>
        <v>11</v>
      </c>
      <c r="L79" s="25">
        <f t="shared" si="39"/>
        <v>0</v>
      </c>
      <c r="N79" s="173">
        <f>INDEX(Input!$C$62:$AM$74,MATCH($A79,Input!$A$62:$A$74,0),MATCH(N$61,Input!$C$61:$AM$61,0))</f>
        <v>0</v>
      </c>
      <c r="O79" s="31">
        <f>IF(VLOOKUP($A79,Input!$A$62:$B$74,2,FALSE)="Percentage",P$70,IF(VLOOKUP($A79,Input!$A$62:$B$74,2,FALSE)="Fixed","Fixed",(O$70)))</f>
        <v>11</v>
      </c>
      <c r="P79" s="25">
        <f t="shared" si="40"/>
        <v>0</v>
      </c>
      <c r="R79" s="173">
        <f>INDEX(Input!$C$62:$AM$74,MATCH($A79,Input!$A$62:$A$74,0),MATCH(R$61,Input!$C$61:$AM$61,0))</f>
        <v>0</v>
      </c>
      <c r="S79" s="31">
        <f>IF(VLOOKUP($A79,Input!$A$62:$B$74,2,FALSE)="Percentage",T$70,IF(VLOOKUP($A79,Input!$A$62:$B$74,2,FALSE)="Fixed","Fixed",(S$70)))</f>
        <v>11</v>
      </c>
      <c r="T79" s="25">
        <f t="shared" si="41"/>
        <v>0</v>
      </c>
      <c r="V79" s="173">
        <f>INDEX(Input!$C$62:$AM$74,MATCH($A79,Input!$A$62:$A$74,0),MATCH(V$61,Input!$C$61:$AM$61,0))</f>
        <v>0</v>
      </c>
      <c r="W79" s="31">
        <f>IF(VLOOKUP($A79,Input!$A$62:$B$74,2,FALSE)="Percentage",X$70,IF(VLOOKUP($A79,Input!$A$62:$B$74,2,FALSE)="Fixed","Fixed",(W$70)))</f>
        <v>11</v>
      </c>
      <c r="X79" s="25">
        <f t="shared" si="42"/>
        <v>0</v>
      </c>
      <c r="Z79" s="173">
        <f>INDEX(Input!$C$62:$AM$74,MATCH($A79,Input!$A$62:$A$74,0),MATCH(Z$61,Input!$C$61:$AM$61,0))</f>
        <v>0</v>
      </c>
      <c r="AA79" s="31">
        <f>IF(VLOOKUP($A79,Input!$A$62:$B$74,2,FALSE)="Percentage",AB$70,IF(VLOOKUP($A79,Input!$A$62:$B$74,2,FALSE)="Fixed","Fixed",(AA$70)))</f>
        <v>11</v>
      </c>
      <c r="AB79" s="25">
        <f t="shared" si="43"/>
        <v>0</v>
      </c>
      <c r="AD79" s="173">
        <f>INDEX(Input!$C$62:$AM$74,MATCH($A79,Input!$A$62:$A$74,0),MATCH(AD$61,Input!$C$61:$AM$61,0))</f>
        <v>0</v>
      </c>
      <c r="AE79" s="31">
        <f>IF(VLOOKUP($A79,Input!$A$62:$B$74,2,FALSE)="Percentage",AF$70,IF(VLOOKUP($A79,Input!$A$62:$B$74,2,FALSE)="Fixed","Fixed",(AE$70)))</f>
        <v>11</v>
      </c>
      <c r="AF79" s="25">
        <f t="shared" si="44"/>
        <v>0</v>
      </c>
      <c r="AH79" s="173">
        <f>INDEX(Input!$C$62:$AM$74,MATCH($A79,Input!$A$62:$A$74,0),MATCH(AH$61,Input!$C$61:$AM$61,0))</f>
        <v>0</v>
      </c>
      <c r="AI79" s="31">
        <f>IF(VLOOKUP($A79,Input!$A$62:$B$74,2,FALSE)="Percentage",AJ$70,IF(VLOOKUP($A79,Input!$A$62:$B$74,2,FALSE)="Fixed","Fixed",(AI$70)))</f>
        <v>11</v>
      </c>
      <c r="AJ79" s="25">
        <f t="shared" si="45"/>
        <v>0</v>
      </c>
      <c r="AL79" s="173">
        <f>INDEX(Input!$C$62:$AM$74,MATCH($A79,Input!$A$62:$A$74,0),MATCH(AL$61,Input!$C$61:$AM$61,0))</f>
        <v>0</v>
      </c>
      <c r="AM79" s="31">
        <f>IF(VLOOKUP($A79,Input!$A$62:$B$74,2,FALSE)="Percentage",AN$70,IF(VLOOKUP($A79,Input!$A$62:$B$74,2,FALSE)="Fixed","Fixed",(AM$70)))</f>
        <v>11</v>
      </c>
      <c r="AN79" s="25">
        <f t="shared" si="46"/>
        <v>0</v>
      </c>
      <c r="AP79" s="173">
        <f>INDEX(Input!$C$62:$AM$74,MATCH($A79,Input!$A$62:$A$74,0),MATCH(AP$61,Input!$C$61:$AM$61,0))</f>
        <v>0</v>
      </c>
      <c r="AQ79" s="31">
        <f>IF(VLOOKUP($A79,Input!$A$62:$B$74,2,FALSE)="Percentage",AR$70,IF(VLOOKUP($A79,Input!$A$62:$B$74,2,FALSE)="Fixed","Fixed",(AQ$70)))</f>
        <v>11</v>
      </c>
      <c r="AR79" s="25">
        <f t="shared" si="47"/>
        <v>0</v>
      </c>
      <c r="AS79" s="30"/>
      <c r="AT79" s="173">
        <f>INDEX(Input!$C$62:$AM$74,MATCH($A79,Input!$A$62:$A$74,0),MATCH(AT$61,Input!$C$61:$AM$61,0))</f>
        <v>0</v>
      </c>
      <c r="AU79" s="31">
        <f>IF(VLOOKUP($A79,Input!$A$62:$B$74,2,FALSE)="Percentage",AV$70,IF(VLOOKUP($A79,Input!$A$62:$B$74,2,FALSE)="Fixed","Fixed",(AU$70)))</f>
        <v>11</v>
      </c>
      <c r="AV79" s="25">
        <f t="shared" si="48"/>
        <v>0</v>
      </c>
    </row>
    <row r="80" spans="1:48" x14ac:dyDescent="0.55000000000000004">
      <c r="A80">
        <f t="shared" si="36"/>
        <v>0</v>
      </c>
      <c r="B80" s="173">
        <f>INDEX(Input!$C$62:$AM$74,MATCH($A80,Input!$A$62:$A$74,0),MATCH(B$61,Input!$C$61:$AM$61,0))</f>
        <v>0</v>
      </c>
      <c r="C80" s="31">
        <f>IF(VLOOKUP($A80,Input!$A$62:$B$74,2,FALSE)="Percentage",D$70,IF(VLOOKUP($A80,Input!$A$62:$B$74,2,FALSE)="Fixed","Fixed",(C$70)))</f>
        <v>11</v>
      </c>
      <c r="D80" s="25">
        <f t="shared" si="37"/>
        <v>0</v>
      </c>
      <c r="F80" s="173">
        <f>INDEX(Input!$C$62:$AM$74,MATCH($A80,Input!$A$62:$A$74,0),MATCH(F$61,Input!$C$61:$AM$61,0))</f>
        <v>0</v>
      </c>
      <c r="G80" s="31">
        <f>IF(VLOOKUP($A80,Input!$A$62:$B$74,2,FALSE)="Percentage",H$70,IF(VLOOKUP($A80,Input!$A$62:$B$74,2,FALSE)="Fixed","Fixed",(G$70)))</f>
        <v>11</v>
      </c>
      <c r="H80" s="25">
        <f t="shared" si="38"/>
        <v>0</v>
      </c>
      <c r="J80" s="173">
        <f>INDEX(Input!$C$62:$AM$74,MATCH($A80,Input!$A$62:$A$74,0),MATCH(J$61,Input!$C$61:$AM$61,0))</f>
        <v>0</v>
      </c>
      <c r="K80" s="31">
        <f>IF(VLOOKUP($A80,Input!$A$62:$B$74,2,FALSE)="Percentage",L$70,IF(VLOOKUP($A80,Input!$A$62:$B$74,2,FALSE)="Fixed","Fixed",(K$70)))</f>
        <v>11</v>
      </c>
      <c r="L80" s="25">
        <f t="shared" si="39"/>
        <v>0</v>
      </c>
      <c r="N80" s="173">
        <f>INDEX(Input!$C$62:$AM$74,MATCH($A80,Input!$A$62:$A$74,0),MATCH(N$61,Input!$C$61:$AM$61,0))</f>
        <v>0</v>
      </c>
      <c r="O80" s="31">
        <f>IF(VLOOKUP($A80,Input!$A$62:$B$74,2,FALSE)="Percentage",P$70,IF(VLOOKUP($A80,Input!$A$62:$B$74,2,FALSE)="Fixed","Fixed",(O$70)))</f>
        <v>11</v>
      </c>
      <c r="P80" s="25">
        <f t="shared" si="40"/>
        <v>0</v>
      </c>
      <c r="R80" s="173">
        <f>INDEX(Input!$C$62:$AM$74,MATCH($A80,Input!$A$62:$A$74,0),MATCH(R$61,Input!$C$61:$AM$61,0))</f>
        <v>0</v>
      </c>
      <c r="S80" s="31">
        <f>IF(VLOOKUP($A80,Input!$A$62:$B$74,2,FALSE)="Percentage",T$70,IF(VLOOKUP($A80,Input!$A$62:$B$74,2,FALSE)="Fixed","Fixed",(S$70)))</f>
        <v>11</v>
      </c>
      <c r="T80" s="25">
        <f t="shared" si="41"/>
        <v>0</v>
      </c>
      <c r="V80" s="173">
        <f>INDEX(Input!$C$62:$AM$74,MATCH($A80,Input!$A$62:$A$74,0),MATCH(V$61,Input!$C$61:$AM$61,0))</f>
        <v>0</v>
      </c>
      <c r="W80" s="31">
        <f>IF(VLOOKUP($A80,Input!$A$62:$B$74,2,FALSE)="Percentage",X$70,IF(VLOOKUP($A80,Input!$A$62:$B$74,2,FALSE)="Fixed","Fixed",(W$70)))</f>
        <v>11</v>
      </c>
      <c r="X80" s="25">
        <f t="shared" si="42"/>
        <v>0</v>
      </c>
      <c r="Z80" s="173">
        <f>INDEX(Input!$C$62:$AM$74,MATCH($A80,Input!$A$62:$A$74,0),MATCH(Z$61,Input!$C$61:$AM$61,0))</f>
        <v>0</v>
      </c>
      <c r="AA80" s="31">
        <f>IF(VLOOKUP($A80,Input!$A$62:$B$74,2,FALSE)="Percentage",AB$70,IF(VLOOKUP($A80,Input!$A$62:$B$74,2,FALSE)="Fixed","Fixed",(AA$70)))</f>
        <v>11</v>
      </c>
      <c r="AB80" s="25">
        <f t="shared" si="43"/>
        <v>0</v>
      </c>
      <c r="AD80" s="173">
        <f>INDEX(Input!$C$62:$AM$74,MATCH($A80,Input!$A$62:$A$74,0),MATCH(AD$61,Input!$C$61:$AM$61,0))</f>
        <v>0</v>
      </c>
      <c r="AE80" s="31">
        <f>IF(VLOOKUP($A80,Input!$A$62:$B$74,2,FALSE)="Percentage",AF$70,IF(VLOOKUP($A80,Input!$A$62:$B$74,2,FALSE)="Fixed","Fixed",(AE$70)))</f>
        <v>11</v>
      </c>
      <c r="AF80" s="25">
        <f t="shared" si="44"/>
        <v>0</v>
      </c>
      <c r="AH80" s="173">
        <f>INDEX(Input!$C$62:$AM$74,MATCH($A80,Input!$A$62:$A$74,0),MATCH(AH$61,Input!$C$61:$AM$61,0))</f>
        <v>0</v>
      </c>
      <c r="AI80" s="31">
        <f>IF(VLOOKUP($A80,Input!$A$62:$B$74,2,FALSE)="Percentage",AJ$70,IF(VLOOKUP($A80,Input!$A$62:$B$74,2,FALSE)="Fixed","Fixed",(AI$70)))</f>
        <v>11</v>
      </c>
      <c r="AJ80" s="25">
        <f t="shared" si="45"/>
        <v>0</v>
      </c>
      <c r="AL80" s="173">
        <f>INDEX(Input!$C$62:$AM$74,MATCH($A80,Input!$A$62:$A$74,0),MATCH(AL$61,Input!$C$61:$AM$61,0))</f>
        <v>0</v>
      </c>
      <c r="AM80" s="31">
        <f>IF(VLOOKUP($A80,Input!$A$62:$B$74,2,FALSE)="Percentage",AN$70,IF(VLOOKUP($A80,Input!$A$62:$B$74,2,FALSE)="Fixed","Fixed",(AM$70)))</f>
        <v>11</v>
      </c>
      <c r="AN80" s="25">
        <f t="shared" si="46"/>
        <v>0</v>
      </c>
      <c r="AP80" s="173">
        <f>INDEX(Input!$C$62:$AM$74,MATCH($A80,Input!$A$62:$A$74,0),MATCH(AP$61,Input!$C$61:$AM$61,0))</f>
        <v>0</v>
      </c>
      <c r="AQ80" s="31">
        <f>IF(VLOOKUP($A80,Input!$A$62:$B$74,2,FALSE)="Percentage",AR$70,IF(VLOOKUP($A80,Input!$A$62:$B$74,2,FALSE)="Fixed","Fixed",(AQ$70)))</f>
        <v>11</v>
      </c>
      <c r="AR80" s="25">
        <f t="shared" si="47"/>
        <v>0</v>
      </c>
      <c r="AS80" s="30"/>
      <c r="AT80" s="173">
        <f>INDEX(Input!$C$62:$AM$74,MATCH($A80,Input!$A$62:$A$74,0),MATCH(AT$61,Input!$C$61:$AM$61,0))</f>
        <v>0</v>
      </c>
      <c r="AU80" s="31">
        <f>IF(VLOOKUP($A80,Input!$A$62:$B$74,2,FALSE)="Percentage",AV$70,IF(VLOOKUP($A80,Input!$A$62:$B$74,2,FALSE)="Fixed","Fixed",(AU$70)))</f>
        <v>11</v>
      </c>
      <c r="AV80" s="25">
        <f t="shared" si="48"/>
        <v>0</v>
      </c>
    </row>
    <row r="81" spans="1:48" x14ac:dyDescent="0.55000000000000004">
      <c r="A81">
        <f t="shared" si="36"/>
        <v>0</v>
      </c>
      <c r="B81" s="173">
        <f>INDEX(Input!$C$62:$AM$74,MATCH($A81,Input!$A$62:$A$74,0),MATCH(B$61,Input!$C$61:$AM$61,0))</f>
        <v>0</v>
      </c>
      <c r="C81" s="31">
        <f>IF(VLOOKUP($A81,Input!$A$62:$B$74,2,FALSE)="Percentage",D$70,IF(VLOOKUP($A81,Input!$A$62:$B$74,2,FALSE)="Fixed","Fixed",(C$70)))</f>
        <v>11</v>
      </c>
      <c r="D81" s="25">
        <f t="shared" si="37"/>
        <v>0</v>
      </c>
      <c r="F81" s="173">
        <f>INDEX(Input!$C$62:$AM$74,MATCH($A81,Input!$A$62:$A$74,0),MATCH(F$61,Input!$C$61:$AM$61,0))</f>
        <v>0</v>
      </c>
      <c r="G81" s="31">
        <f>IF(VLOOKUP($A81,Input!$A$62:$B$74,2,FALSE)="Percentage",H$70,IF(VLOOKUP($A81,Input!$A$62:$B$74,2,FALSE)="Fixed","Fixed",(G$70)))</f>
        <v>11</v>
      </c>
      <c r="H81" s="25">
        <f t="shared" si="38"/>
        <v>0</v>
      </c>
      <c r="J81" s="173">
        <f>INDEX(Input!$C$62:$AM$74,MATCH($A81,Input!$A$62:$A$74,0),MATCH(J$61,Input!$C$61:$AM$61,0))</f>
        <v>0</v>
      </c>
      <c r="K81" s="31">
        <f>IF(VLOOKUP($A81,Input!$A$62:$B$74,2,FALSE)="Percentage",L$70,IF(VLOOKUP($A81,Input!$A$62:$B$74,2,FALSE)="Fixed","Fixed",(K$70)))</f>
        <v>11</v>
      </c>
      <c r="L81" s="25">
        <f t="shared" si="39"/>
        <v>0</v>
      </c>
      <c r="N81" s="173">
        <f>INDEX(Input!$C$62:$AM$74,MATCH($A81,Input!$A$62:$A$74,0),MATCH(N$61,Input!$C$61:$AM$61,0))</f>
        <v>0</v>
      </c>
      <c r="O81" s="31">
        <f>IF(VLOOKUP($A81,Input!$A$62:$B$74,2,FALSE)="Percentage",P$70,IF(VLOOKUP($A81,Input!$A$62:$B$74,2,FALSE)="Fixed","Fixed",(O$70)))</f>
        <v>11</v>
      </c>
      <c r="P81" s="25">
        <f t="shared" si="40"/>
        <v>0</v>
      </c>
      <c r="R81" s="173">
        <f>INDEX(Input!$C$62:$AM$74,MATCH($A81,Input!$A$62:$A$74,0),MATCH(R$61,Input!$C$61:$AM$61,0))</f>
        <v>0</v>
      </c>
      <c r="S81" s="31">
        <f>IF(VLOOKUP($A81,Input!$A$62:$B$74,2,FALSE)="Percentage",T$70,IF(VLOOKUP($A81,Input!$A$62:$B$74,2,FALSE)="Fixed","Fixed",(S$70)))</f>
        <v>11</v>
      </c>
      <c r="T81" s="25">
        <f t="shared" si="41"/>
        <v>0</v>
      </c>
      <c r="V81" s="173">
        <f>INDEX(Input!$C$62:$AM$74,MATCH($A81,Input!$A$62:$A$74,0),MATCH(V$61,Input!$C$61:$AM$61,0))</f>
        <v>0</v>
      </c>
      <c r="W81" s="31">
        <f>IF(VLOOKUP($A81,Input!$A$62:$B$74,2,FALSE)="Percentage",X$70,IF(VLOOKUP($A81,Input!$A$62:$B$74,2,FALSE)="Fixed","Fixed",(W$70)))</f>
        <v>11</v>
      </c>
      <c r="X81" s="25">
        <f t="shared" si="42"/>
        <v>0</v>
      </c>
      <c r="Z81" s="173">
        <f>INDEX(Input!$C$62:$AM$74,MATCH($A81,Input!$A$62:$A$74,0),MATCH(Z$61,Input!$C$61:$AM$61,0))</f>
        <v>0</v>
      </c>
      <c r="AA81" s="31">
        <f>IF(VLOOKUP($A81,Input!$A$62:$B$74,2,FALSE)="Percentage",AB$70,IF(VLOOKUP($A81,Input!$A$62:$B$74,2,FALSE)="Fixed","Fixed",(AA$70)))</f>
        <v>11</v>
      </c>
      <c r="AB81" s="25">
        <f t="shared" si="43"/>
        <v>0</v>
      </c>
      <c r="AD81" s="173">
        <f>INDEX(Input!$C$62:$AM$74,MATCH($A81,Input!$A$62:$A$74,0),MATCH(AD$61,Input!$C$61:$AM$61,0))</f>
        <v>0</v>
      </c>
      <c r="AE81" s="31">
        <f>IF(VLOOKUP($A81,Input!$A$62:$B$74,2,FALSE)="Percentage",AF$70,IF(VLOOKUP($A81,Input!$A$62:$B$74,2,FALSE)="Fixed","Fixed",(AE$70)))</f>
        <v>11</v>
      </c>
      <c r="AF81" s="25">
        <f t="shared" si="44"/>
        <v>0</v>
      </c>
      <c r="AH81" s="173">
        <f>INDEX(Input!$C$62:$AM$74,MATCH($A81,Input!$A$62:$A$74,0),MATCH(AH$61,Input!$C$61:$AM$61,0))</f>
        <v>0</v>
      </c>
      <c r="AI81" s="31">
        <f>IF(VLOOKUP($A81,Input!$A$62:$B$74,2,FALSE)="Percentage",AJ$70,IF(VLOOKUP($A81,Input!$A$62:$B$74,2,FALSE)="Fixed","Fixed",(AI$70)))</f>
        <v>11</v>
      </c>
      <c r="AJ81" s="25">
        <f t="shared" si="45"/>
        <v>0</v>
      </c>
      <c r="AL81" s="173">
        <f>INDEX(Input!$C$62:$AM$74,MATCH($A81,Input!$A$62:$A$74,0),MATCH(AL$61,Input!$C$61:$AM$61,0))</f>
        <v>0</v>
      </c>
      <c r="AM81" s="31">
        <f>IF(VLOOKUP($A81,Input!$A$62:$B$74,2,FALSE)="Percentage",AN$70,IF(VLOOKUP($A81,Input!$A$62:$B$74,2,FALSE)="Fixed","Fixed",(AM$70)))</f>
        <v>11</v>
      </c>
      <c r="AN81" s="25">
        <f t="shared" si="46"/>
        <v>0</v>
      </c>
      <c r="AP81" s="173">
        <f>INDEX(Input!$C$62:$AM$74,MATCH($A81,Input!$A$62:$A$74,0),MATCH(AP$61,Input!$C$61:$AM$61,0))</f>
        <v>0</v>
      </c>
      <c r="AQ81" s="31">
        <f>IF(VLOOKUP($A81,Input!$A$62:$B$74,2,FALSE)="Percentage",AR$70,IF(VLOOKUP($A81,Input!$A$62:$B$74,2,FALSE)="Fixed","Fixed",(AQ$70)))</f>
        <v>11</v>
      </c>
      <c r="AR81" s="25">
        <f t="shared" si="47"/>
        <v>0</v>
      </c>
      <c r="AS81" s="30"/>
      <c r="AT81" s="173">
        <f>INDEX(Input!$C$62:$AM$74,MATCH($A81,Input!$A$62:$A$74,0),MATCH(AT$61,Input!$C$61:$AM$61,0))</f>
        <v>0</v>
      </c>
      <c r="AU81" s="31">
        <f>IF(VLOOKUP($A81,Input!$A$62:$B$74,2,FALSE)="Percentage",AV$70,IF(VLOOKUP($A81,Input!$A$62:$B$74,2,FALSE)="Fixed","Fixed",(AU$70)))</f>
        <v>11</v>
      </c>
      <c r="AV81" s="25">
        <f t="shared" si="48"/>
        <v>0</v>
      </c>
    </row>
    <row r="82" spans="1:48" x14ac:dyDescent="0.55000000000000004">
      <c r="A82">
        <f t="shared" si="36"/>
        <v>0</v>
      </c>
      <c r="B82" s="173">
        <f>INDEX(Input!$C$62:$AM$74,MATCH($A82,Input!$A$62:$A$74,0),MATCH(B$61,Input!$C$61:$AM$61,0))</f>
        <v>0</v>
      </c>
      <c r="C82" s="31">
        <f>IF(VLOOKUP($A82,Input!$A$62:$B$74,2,FALSE)="Percentage",D$70,IF(VLOOKUP($A82,Input!$A$62:$B$74,2,FALSE)="Fixed","Fixed",(C$70)))</f>
        <v>11</v>
      </c>
      <c r="D82" s="25">
        <f t="shared" si="37"/>
        <v>0</v>
      </c>
      <c r="F82" s="173">
        <f>INDEX(Input!$C$62:$AM$74,MATCH($A82,Input!$A$62:$A$74,0),MATCH(F$61,Input!$C$61:$AM$61,0))</f>
        <v>0</v>
      </c>
      <c r="G82" s="31">
        <f>IF(VLOOKUP($A82,Input!$A$62:$B$74,2,FALSE)="Percentage",H$70,IF(VLOOKUP($A82,Input!$A$62:$B$74,2,FALSE)="Fixed","Fixed",(G$70)))</f>
        <v>11</v>
      </c>
      <c r="H82" s="25">
        <f t="shared" si="38"/>
        <v>0</v>
      </c>
      <c r="J82" s="173">
        <f>INDEX(Input!$C$62:$AM$74,MATCH($A82,Input!$A$62:$A$74,0),MATCH(J$61,Input!$C$61:$AM$61,0))</f>
        <v>0</v>
      </c>
      <c r="K82" s="31">
        <f>IF(VLOOKUP($A82,Input!$A$62:$B$74,2,FALSE)="Percentage",L$70,IF(VLOOKUP($A82,Input!$A$62:$B$74,2,FALSE)="Fixed","Fixed",(K$70)))</f>
        <v>11</v>
      </c>
      <c r="L82" s="25">
        <f t="shared" si="39"/>
        <v>0</v>
      </c>
      <c r="N82" s="173">
        <f>INDEX(Input!$C$62:$AM$74,MATCH($A82,Input!$A$62:$A$74,0),MATCH(N$61,Input!$C$61:$AM$61,0))</f>
        <v>0</v>
      </c>
      <c r="O82" s="31">
        <f>IF(VLOOKUP($A82,Input!$A$62:$B$74,2,FALSE)="Percentage",P$70,IF(VLOOKUP($A82,Input!$A$62:$B$74,2,FALSE)="Fixed","Fixed",(O$70)))</f>
        <v>11</v>
      </c>
      <c r="P82" s="25">
        <f t="shared" si="40"/>
        <v>0</v>
      </c>
      <c r="R82" s="173">
        <f>INDEX(Input!$C$62:$AM$74,MATCH($A82,Input!$A$62:$A$74,0),MATCH(R$61,Input!$C$61:$AM$61,0))</f>
        <v>0</v>
      </c>
      <c r="S82" s="31">
        <f>IF(VLOOKUP($A82,Input!$A$62:$B$74,2,FALSE)="Percentage",T$70,IF(VLOOKUP($A82,Input!$A$62:$B$74,2,FALSE)="Fixed","Fixed",(S$70)))</f>
        <v>11</v>
      </c>
      <c r="T82" s="25">
        <f t="shared" si="41"/>
        <v>0</v>
      </c>
      <c r="V82" s="173">
        <f>INDEX(Input!$C$62:$AM$74,MATCH($A82,Input!$A$62:$A$74,0),MATCH(V$61,Input!$C$61:$AM$61,0))</f>
        <v>0</v>
      </c>
      <c r="W82" s="31">
        <f>IF(VLOOKUP($A82,Input!$A$62:$B$74,2,FALSE)="Percentage",X$70,IF(VLOOKUP($A82,Input!$A$62:$B$74,2,FALSE)="Fixed","Fixed",(W$70)))</f>
        <v>11</v>
      </c>
      <c r="X82" s="25">
        <f t="shared" si="42"/>
        <v>0</v>
      </c>
      <c r="Z82" s="173">
        <f>INDEX(Input!$C$62:$AM$74,MATCH($A82,Input!$A$62:$A$74,0),MATCH(Z$61,Input!$C$61:$AM$61,0))</f>
        <v>0</v>
      </c>
      <c r="AA82" s="31">
        <f>IF(VLOOKUP($A82,Input!$A$62:$B$74,2,FALSE)="Percentage",AB$70,IF(VLOOKUP($A82,Input!$A$62:$B$74,2,FALSE)="Fixed","Fixed",(AA$70)))</f>
        <v>11</v>
      </c>
      <c r="AB82" s="25">
        <f t="shared" si="43"/>
        <v>0</v>
      </c>
      <c r="AD82" s="173">
        <f>INDEX(Input!$C$62:$AM$74,MATCH($A82,Input!$A$62:$A$74,0),MATCH(AD$61,Input!$C$61:$AM$61,0))</f>
        <v>0</v>
      </c>
      <c r="AE82" s="31">
        <f>IF(VLOOKUP($A82,Input!$A$62:$B$74,2,FALSE)="Percentage",AF$70,IF(VLOOKUP($A82,Input!$A$62:$B$74,2,FALSE)="Fixed","Fixed",(AE$70)))</f>
        <v>11</v>
      </c>
      <c r="AF82" s="25">
        <f t="shared" si="44"/>
        <v>0</v>
      </c>
      <c r="AH82" s="173">
        <f>INDEX(Input!$C$62:$AM$74,MATCH($A82,Input!$A$62:$A$74,0),MATCH(AH$61,Input!$C$61:$AM$61,0))</f>
        <v>0</v>
      </c>
      <c r="AI82" s="31">
        <f>IF(VLOOKUP($A82,Input!$A$62:$B$74,2,FALSE)="Percentage",AJ$70,IF(VLOOKUP($A82,Input!$A$62:$B$74,2,FALSE)="Fixed","Fixed",(AI$70)))</f>
        <v>11</v>
      </c>
      <c r="AJ82" s="25">
        <f t="shared" si="45"/>
        <v>0</v>
      </c>
      <c r="AL82" s="173">
        <f>INDEX(Input!$C$62:$AM$74,MATCH($A82,Input!$A$62:$A$74,0),MATCH(AL$61,Input!$C$61:$AM$61,0))</f>
        <v>0</v>
      </c>
      <c r="AM82" s="31">
        <f>IF(VLOOKUP($A82,Input!$A$62:$B$74,2,FALSE)="Percentage",AN$70,IF(VLOOKUP($A82,Input!$A$62:$B$74,2,FALSE)="Fixed","Fixed",(AM$70)))</f>
        <v>11</v>
      </c>
      <c r="AN82" s="25">
        <f t="shared" si="46"/>
        <v>0</v>
      </c>
      <c r="AP82" s="173">
        <f>INDEX(Input!$C$62:$AM$74,MATCH($A82,Input!$A$62:$A$74,0),MATCH(AP$61,Input!$C$61:$AM$61,0))</f>
        <v>0</v>
      </c>
      <c r="AQ82" s="31">
        <f>IF(VLOOKUP($A82,Input!$A$62:$B$74,2,FALSE)="Percentage",AR$70,IF(VLOOKUP($A82,Input!$A$62:$B$74,2,FALSE)="Fixed","Fixed",(AQ$70)))</f>
        <v>11</v>
      </c>
      <c r="AR82" s="25">
        <f t="shared" si="47"/>
        <v>0</v>
      </c>
      <c r="AS82" s="30"/>
      <c r="AT82" s="173">
        <f>INDEX(Input!$C$62:$AM$74,MATCH($A82,Input!$A$62:$A$74,0),MATCH(AT$61,Input!$C$61:$AM$61,0))</f>
        <v>0</v>
      </c>
      <c r="AU82" s="31">
        <f>IF(VLOOKUP($A82,Input!$A$62:$B$74,2,FALSE)="Percentage",AV$70,IF(VLOOKUP($A82,Input!$A$62:$B$74,2,FALSE)="Fixed","Fixed",(AU$70)))</f>
        <v>11</v>
      </c>
      <c r="AV82" s="25">
        <f t="shared" si="48"/>
        <v>0</v>
      </c>
    </row>
    <row r="83" spans="1:48" x14ac:dyDescent="0.55000000000000004">
      <c r="A83">
        <f t="shared" si="36"/>
        <v>0</v>
      </c>
      <c r="B83" s="173">
        <f>INDEX(Input!$C$62:$AM$74,MATCH($A83,Input!$A$62:$A$74,0),MATCH(B$61,Input!$C$61:$AM$61,0))</f>
        <v>0</v>
      </c>
      <c r="C83" s="31">
        <f>IF(VLOOKUP($A83,Input!$A$62:$B$74,2,FALSE)="Percentage",D$70,IF(VLOOKUP($A83,Input!$A$62:$B$74,2,FALSE)="Fixed","Fixed",(C$70)))</f>
        <v>11</v>
      </c>
      <c r="D83" s="25">
        <f t="shared" si="37"/>
        <v>0</v>
      </c>
      <c r="F83" s="173">
        <f>INDEX(Input!$C$62:$AM$74,MATCH($A83,Input!$A$62:$A$74,0),MATCH(F$61,Input!$C$61:$AM$61,0))</f>
        <v>0</v>
      </c>
      <c r="G83" s="31">
        <f>IF(VLOOKUP($A83,Input!$A$62:$B$74,2,FALSE)="Percentage",H$70,IF(VLOOKUP($A83,Input!$A$62:$B$74,2,FALSE)="Fixed","Fixed",(G$70)))</f>
        <v>11</v>
      </c>
      <c r="H83" s="25">
        <f t="shared" si="38"/>
        <v>0</v>
      </c>
      <c r="J83" s="173">
        <f>INDEX(Input!$C$62:$AM$74,MATCH($A83,Input!$A$62:$A$74,0),MATCH(J$61,Input!$C$61:$AM$61,0))</f>
        <v>0</v>
      </c>
      <c r="K83" s="31">
        <f>IF(VLOOKUP($A83,Input!$A$62:$B$74,2,FALSE)="Percentage",L$70,IF(VLOOKUP($A83,Input!$A$62:$B$74,2,FALSE)="Fixed","Fixed",(K$70)))</f>
        <v>11</v>
      </c>
      <c r="L83" s="25">
        <f t="shared" si="39"/>
        <v>0</v>
      </c>
      <c r="N83" s="173">
        <f>INDEX(Input!$C$62:$AM$74,MATCH($A83,Input!$A$62:$A$74,0),MATCH(N$61,Input!$C$61:$AM$61,0))</f>
        <v>0</v>
      </c>
      <c r="O83" s="31">
        <f>IF(VLOOKUP($A83,Input!$A$62:$B$74,2,FALSE)="Percentage",P$70,IF(VLOOKUP($A83,Input!$A$62:$B$74,2,FALSE)="Fixed","Fixed",(O$70)))</f>
        <v>11</v>
      </c>
      <c r="P83" s="25">
        <f t="shared" si="40"/>
        <v>0</v>
      </c>
      <c r="R83" s="173">
        <f>INDEX(Input!$C$62:$AM$74,MATCH($A83,Input!$A$62:$A$74,0),MATCH(R$61,Input!$C$61:$AM$61,0))</f>
        <v>0</v>
      </c>
      <c r="S83" s="31">
        <f>IF(VLOOKUP($A83,Input!$A$62:$B$74,2,FALSE)="Percentage",T$70,IF(VLOOKUP($A83,Input!$A$62:$B$74,2,FALSE)="Fixed","Fixed",(S$70)))</f>
        <v>11</v>
      </c>
      <c r="T83" s="25">
        <f t="shared" si="41"/>
        <v>0</v>
      </c>
      <c r="V83" s="173">
        <f>INDEX(Input!$C$62:$AM$74,MATCH($A83,Input!$A$62:$A$74,0),MATCH(V$61,Input!$C$61:$AM$61,0))</f>
        <v>0</v>
      </c>
      <c r="W83" s="31">
        <f>IF(VLOOKUP($A83,Input!$A$62:$B$74,2,FALSE)="Percentage",X$70,IF(VLOOKUP($A83,Input!$A$62:$B$74,2,FALSE)="Fixed","Fixed",(W$70)))</f>
        <v>11</v>
      </c>
      <c r="X83" s="25">
        <f t="shared" si="42"/>
        <v>0</v>
      </c>
      <c r="Z83" s="173">
        <f>INDEX(Input!$C$62:$AM$74,MATCH($A83,Input!$A$62:$A$74,0),MATCH(Z$61,Input!$C$61:$AM$61,0))</f>
        <v>0</v>
      </c>
      <c r="AA83" s="31">
        <f>IF(VLOOKUP($A83,Input!$A$62:$B$74,2,FALSE)="Percentage",AB$70,IF(VLOOKUP($A83,Input!$A$62:$B$74,2,FALSE)="Fixed","Fixed",(AA$70)))</f>
        <v>11</v>
      </c>
      <c r="AB83" s="25">
        <f t="shared" si="43"/>
        <v>0</v>
      </c>
      <c r="AD83" s="173">
        <f>INDEX(Input!$C$62:$AM$74,MATCH($A83,Input!$A$62:$A$74,0),MATCH(AD$61,Input!$C$61:$AM$61,0))</f>
        <v>0</v>
      </c>
      <c r="AE83" s="31">
        <f>IF(VLOOKUP($A83,Input!$A$62:$B$74,2,FALSE)="Percentage",AF$70,IF(VLOOKUP($A83,Input!$A$62:$B$74,2,FALSE)="Fixed","Fixed",(AE$70)))</f>
        <v>11</v>
      </c>
      <c r="AF83" s="25">
        <f t="shared" si="44"/>
        <v>0</v>
      </c>
      <c r="AH83" s="173">
        <f>INDEX(Input!$C$62:$AM$74,MATCH($A83,Input!$A$62:$A$74,0),MATCH(AH$61,Input!$C$61:$AM$61,0))</f>
        <v>0</v>
      </c>
      <c r="AI83" s="31">
        <f>IF(VLOOKUP($A83,Input!$A$62:$B$74,2,FALSE)="Percentage",AJ$70,IF(VLOOKUP($A83,Input!$A$62:$B$74,2,FALSE)="Fixed","Fixed",(AI$70)))</f>
        <v>11</v>
      </c>
      <c r="AJ83" s="25">
        <f t="shared" si="45"/>
        <v>0</v>
      </c>
      <c r="AL83" s="173">
        <f>INDEX(Input!$C$62:$AM$74,MATCH($A83,Input!$A$62:$A$74,0),MATCH(AL$61,Input!$C$61:$AM$61,0))</f>
        <v>0</v>
      </c>
      <c r="AM83" s="31">
        <f>IF(VLOOKUP($A83,Input!$A$62:$B$74,2,FALSE)="Percentage",AN$70,IF(VLOOKUP($A83,Input!$A$62:$B$74,2,FALSE)="Fixed","Fixed",(AM$70)))</f>
        <v>11</v>
      </c>
      <c r="AN83" s="25">
        <f t="shared" si="46"/>
        <v>0</v>
      </c>
      <c r="AP83" s="173">
        <f>INDEX(Input!$C$62:$AM$74,MATCH($A83,Input!$A$62:$A$74,0),MATCH(AP$61,Input!$C$61:$AM$61,0))</f>
        <v>0</v>
      </c>
      <c r="AQ83" s="31">
        <f>IF(VLOOKUP($A83,Input!$A$62:$B$74,2,FALSE)="Percentage",AR$70,IF(VLOOKUP($A83,Input!$A$62:$B$74,2,FALSE)="Fixed","Fixed",(AQ$70)))</f>
        <v>11</v>
      </c>
      <c r="AR83" s="25">
        <f t="shared" si="47"/>
        <v>0</v>
      </c>
      <c r="AS83" s="30"/>
      <c r="AT83" s="173">
        <f>INDEX(Input!$C$62:$AM$74,MATCH($A83,Input!$A$62:$A$74,0),MATCH(AT$61,Input!$C$61:$AM$61,0))</f>
        <v>0</v>
      </c>
      <c r="AU83" s="31">
        <f>IF(VLOOKUP($A83,Input!$A$62:$B$74,2,FALSE)="Percentage",AV$70,IF(VLOOKUP($A83,Input!$A$62:$B$74,2,FALSE)="Fixed","Fixed",(AU$70)))</f>
        <v>11</v>
      </c>
      <c r="AV83" s="25">
        <f t="shared" si="48"/>
        <v>0</v>
      </c>
    </row>
    <row r="84" spans="1:48" x14ac:dyDescent="0.55000000000000004">
      <c r="A84">
        <f t="shared" si="36"/>
        <v>0</v>
      </c>
      <c r="B84" s="173">
        <f>INDEX(Input!$C$62:$AM$74,MATCH($A84,Input!$A$62:$A$74,0),MATCH(B$61,Input!$C$61:$AM$61,0))</f>
        <v>0</v>
      </c>
      <c r="C84" s="31">
        <f>IF(VLOOKUP($A84,Input!$A$62:$B$74,2,FALSE)="Percentage",D$70,IF(VLOOKUP($A84,Input!$A$62:$B$74,2,FALSE)="Fixed","Fixed",(C$70)))</f>
        <v>11</v>
      </c>
      <c r="D84" s="25">
        <f t="shared" si="37"/>
        <v>0</v>
      </c>
      <c r="F84" s="173">
        <f>INDEX(Input!$C$62:$AM$74,MATCH($A84,Input!$A$62:$A$74,0),MATCH(F$61,Input!$C$61:$AM$61,0))</f>
        <v>0</v>
      </c>
      <c r="G84" s="31">
        <f>IF(VLOOKUP($A84,Input!$A$62:$B$74,2,FALSE)="Percentage",H$70,IF(VLOOKUP($A84,Input!$A$62:$B$74,2,FALSE)="Fixed","Fixed",(G$70)))</f>
        <v>11</v>
      </c>
      <c r="H84" s="25">
        <f t="shared" si="38"/>
        <v>0</v>
      </c>
      <c r="J84" s="173">
        <f>INDEX(Input!$C$62:$AM$74,MATCH($A84,Input!$A$62:$A$74,0),MATCH(J$61,Input!$C$61:$AM$61,0))</f>
        <v>0</v>
      </c>
      <c r="K84" s="31">
        <f>IF(VLOOKUP($A84,Input!$A$62:$B$74,2,FALSE)="Percentage",L$70,IF(VLOOKUP($A84,Input!$A$62:$B$74,2,FALSE)="Fixed","Fixed",(K$70)))</f>
        <v>11</v>
      </c>
      <c r="L84" s="25">
        <f t="shared" si="39"/>
        <v>0</v>
      </c>
      <c r="N84" s="173">
        <f>INDEX(Input!$C$62:$AM$74,MATCH($A84,Input!$A$62:$A$74,0),MATCH(N$61,Input!$C$61:$AM$61,0))</f>
        <v>0</v>
      </c>
      <c r="O84" s="31">
        <f>IF(VLOOKUP($A84,Input!$A$62:$B$74,2,FALSE)="Percentage",P$70,IF(VLOOKUP($A84,Input!$A$62:$B$74,2,FALSE)="Fixed","Fixed",(O$70)))</f>
        <v>11</v>
      </c>
      <c r="P84" s="25">
        <f t="shared" si="40"/>
        <v>0</v>
      </c>
      <c r="R84" s="173">
        <f>INDEX(Input!$C$62:$AM$74,MATCH($A84,Input!$A$62:$A$74,0),MATCH(R$61,Input!$C$61:$AM$61,0))</f>
        <v>0</v>
      </c>
      <c r="S84" s="31">
        <f>IF(VLOOKUP($A84,Input!$A$62:$B$74,2,FALSE)="Percentage",T$70,IF(VLOOKUP($A84,Input!$A$62:$B$74,2,FALSE)="Fixed","Fixed",(S$70)))</f>
        <v>11</v>
      </c>
      <c r="T84" s="25">
        <f t="shared" si="41"/>
        <v>0</v>
      </c>
      <c r="V84" s="173">
        <f>INDEX(Input!$C$62:$AM$74,MATCH($A84,Input!$A$62:$A$74,0),MATCH(V$61,Input!$C$61:$AM$61,0))</f>
        <v>0</v>
      </c>
      <c r="W84" s="31">
        <f>IF(VLOOKUP($A84,Input!$A$62:$B$74,2,FALSE)="Percentage",X$70,IF(VLOOKUP($A84,Input!$A$62:$B$74,2,FALSE)="Fixed","Fixed",(W$70)))</f>
        <v>11</v>
      </c>
      <c r="X84" s="25">
        <f t="shared" si="42"/>
        <v>0</v>
      </c>
      <c r="Z84" s="173">
        <f>INDEX(Input!$C$62:$AM$74,MATCH($A84,Input!$A$62:$A$74,0),MATCH(Z$61,Input!$C$61:$AM$61,0))</f>
        <v>0</v>
      </c>
      <c r="AA84" s="31">
        <f>IF(VLOOKUP($A84,Input!$A$62:$B$74,2,FALSE)="Percentage",AB$70,IF(VLOOKUP($A84,Input!$A$62:$B$74,2,FALSE)="Fixed","Fixed",(AA$70)))</f>
        <v>11</v>
      </c>
      <c r="AB84" s="25">
        <f t="shared" si="43"/>
        <v>0</v>
      </c>
      <c r="AD84" s="173">
        <f>INDEX(Input!$C$62:$AM$74,MATCH($A84,Input!$A$62:$A$74,0),MATCH(AD$61,Input!$C$61:$AM$61,0))</f>
        <v>0</v>
      </c>
      <c r="AE84" s="31">
        <f>IF(VLOOKUP($A84,Input!$A$62:$B$74,2,FALSE)="Percentage",AF$70,IF(VLOOKUP($A84,Input!$A$62:$B$74,2,FALSE)="Fixed","Fixed",(AE$70)))</f>
        <v>11</v>
      </c>
      <c r="AF84" s="25">
        <f t="shared" si="44"/>
        <v>0</v>
      </c>
      <c r="AH84" s="173">
        <f>INDEX(Input!$C$62:$AM$74,MATCH($A84,Input!$A$62:$A$74,0),MATCH(AH$61,Input!$C$61:$AM$61,0))</f>
        <v>0</v>
      </c>
      <c r="AI84" s="31">
        <f>IF(VLOOKUP($A84,Input!$A$62:$B$74,2,FALSE)="Percentage",AJ$70,IF(VLOOKUP($A84,Input!$A$62:$B$74,2,FALSE)="Fixed","Fixed",(AI$70)))</f>
        <v>11</v>
      </c>
      <c r="AJ84" s="25">
        <f t="shared" si="45"/>
        <v>0</v>
      </c>
      <c r="AL84" s="173">
        <f>INDEX(Input!$C$62:$AM$74,MATCH($A84,Input!$A$62:$A$74,0),MATCH(AL$61,Input!$C$61:$AM$61,0))</f>
        <v>0</v>
      </c>
      <c r="AM84" s="31">
        <f>IF(VLOOKUP($A84,Input!$A$62:$B$74,2,FALSE)="Percentage",AN$70,IF(VLOOKUP($A84,Input!$A$62:$B$74,2,FALSE)="Fixed","Fixed",(AM$70)))</f>
        <v>11</v>
      </c>
      <c r="AN84" s="25">
        <f t="shared" si="46"/>
        <v>0</v>
      </c>
      <c r="AP84" s="173">
        <f>INDEX(Input!$C$62:$AM$74,MATCH($A84,Input!$A$62:$A$74,0),MATCH(AP$61,Input!$C$61:$AM$61,0))</f>
        <v>0</v>
      </c>
      <c r="AQ84" s="31">
        <f>IF(VLOOKUP($A84,Input!$A$62:$B$74,2,FALSE)="Percentage",AR$70,IF(VLOOKUP($A84,Input!$A$62:$B$74,2,FALSE)="Fixed","Fixed",(AQ$70)))</f>
        <v>11</v>
      </c>
      <c r="AR84" s="25">
        <f t="shared" si="47"/>
        <v>0</v>
      </c>
      <c r="AS84" s="30"/>
      <c r="AT84" s="173">
        <f>INDEX(Input!$C$62:$AM$74,MATCH($A84,Input!$A$62:$A$74,0),MATCH(AT$61,Input!$C$61:$AM$61,0))</f>
        <v>0</v>
      </c>
      <c r="AU84" s="31">
        <f>IF(VLOOKUP($A84,Input!$A$62:$B$74,2,FALSE)="Percentage",AV$70,IF(VLOOKUP($A84,Input!$A$62:$B$74,2,FALSE)="Fixed","Fixed",(AU$70)))</f>
        <v>11</v>
      </c>
      <c r="AV84" s="25">
        <f t="shared" si="48"/>
        <v>0</v>
      </c>
    </row>
    <row r="85" spans="1:48" x14ac:dyDescent="0.55000000000000004">
      <c r="A85">
        <f t="shared" si="36"/>
        <v>0</v>
      </c>
      <c r="B85" s="173">
        <f>INDEX(Input!$C$62:$AM$74,MATCH($A85,Input!$A$62:$A$74,0),MATCH(B$61,Input!$C$61:$AM$61,0))</f>
        <v>0</v>
      </c>
      <c r="C85" s="31">
        <f>IF(VLOOKUP($A85,Input!$A$62:$B$74,2,FALSE)="Percentage",D$70,IF(VLOOKUP($A85,Input!$A$62:$B$74,2,FALSE)="Fixed","Fixed",(C$70)))</f>
        <v>11</v>
      </c>
      <c r="D85" s="25">
        <f t="shared" si="37"/>
        <v>0</v>
      </c>
      <c r="F85" s="173">
        <f>INDEX(Input!$C$62:$AM$74,MATCH($A85,Input!$A$62:$A$74,0),MATCH(F$61,Input!$C$61:$AM$61,0))</f>
        <v>0</v>
      </c>
      <c r="G85" s="31">
        <f>IF(VLOOKUP($A85,Input!$A$62:$B$74,2,FALSE)="Percentage",H$70,IF(VLOOKUP($A85,Input!$A$62:$B$74,2,FALSE)="Fixed","Fixed",(G$70)))</f>
        <v>11</v>
      </c>
      <c r="H85" s="25">
        <f t="shared" si="38"/>
        <v>0</v>
      </c>
      <c r="J85" s="173">
        <f>INDEX(Input!$C$62:$AM$74,MATCH($A85,Input!$A$62:$A$74,0),MATCH(J$61,Input!$C$61:$AM$61,0))</f>
        <v>0</v>
      </c>
      <c r="K85" s="31">
        <f>IF(VLOOKUP($A85,Input!$A$62:$B$74,2,FALSE)="Percentage",L$70,IF(VLOOKUP($A85,Input!$A$62:$B$74,2,FALSE)="Fixed","Fixed",(K$70)))</f>
        <v>11</v>
      </c>
      <c r="L85" s="25">
        <f t="shared" si="39"/>
        <v>0</v>
      </c>
      <c r="N85" s="173">
        <f>INDEX(Input!$C$62:$AM$74,MATCH($A85,Input!$A$62:$A$74,0),MATCH(N$61,Input!$C$61:$AM$61,0))</f>
        <v>0</v>
      </c>
      <c r="O85" s="31">
        <f>IF(VLOOKUP($A85,Input!$A$62:$B$74,2,FALSE)="Percentage",P$70,IF(VLOOKUP($A85,Input!$A$62:$B$74,2,FALSE)="Fixed","Fixed",(O$70)))</f>
        <v>11</v>
      </c>
      <c r="P85" s="25">
        <f t="shared" si="40"/>
        <v>0</v>
      </c>
      <c r="R85" s="173">
        <f>INDEX(Input!$C$62:$AM$74,MATCH($A85,Input!$A$62:$A$74,0),MATCH(R$61,Input!$C$61:$AM$61,0))</f>
        <v>0</v>
      </c>
      <c r="S85" s="31">
        <f>IF(VLOOKUP($A85,Input!$A$62:$B$74,2,FALSE)="Percentage",T$70,IF(VLOOKUP($A85,Input!$A$62:$B$74,2,FALSE)="Fixed","Fixed",(S$70)))</f>
        <v>11</v>
      </c>
      <c r="T85" s="25">
        <f t="shared" si="41"/>
        <v>0</v>
      </c>
      <c r="V85" s="173">
        <f>INDEX(Input!$C$62:$AM$74,MATCH($A85,Input!$A$62:$A$74,0),MATCH(V$61,Input!$C$61:$AM$61,0))</f>
        <v>0</v>
      </c>
      <c r="W85" s="31">
        <f>IF(VLOOKUP($A85,Input!$A$62:$B$74,2,FALSE)="Percentage",X$70,IF(VLOOKUP($A85,Input!$A$62:$B$74,2,FALSE)="Fixed","Fixed",(W$70)))</f>
        <v>11</v>
      </c>
      <c r="X85" s="25">
        <f t="shared" si="42"/>
        <v>0</v>
      </c>
      <c r="Z85" s="173">
        <f>INDEX(Input!$C$62:$AM$74,MATCH($A85,Input!$A$62:$A$74,0),MATCH(Z$61,Input!$C$61:$AM$61,0))</f>
        <v>0</v>
      </c>
      <c r="AA85" s="31">
        <f>IF(VLOOKUP($A85,Input!$A$62:$B$74,2,FALSE)="Percentage",AB$70,IF(VLOOKUP($A85,Input!$A$62:$B$74,2,FALSE)="Fixed","Fixed",(AA$70)))</f>
        <v>11</v>
      </c>
      <c r="AB85" s="25">
        <f t="shared" si="43"/>
        <v>0</v>
      </c>
      <c r="AD85" s="173">
        <f>INDEX(Input!$C$62:$AM$74,MATCH($A85,Input!$A$62:$A$74,0),MATCH(AD$61,Input!$C$61:$AM$61,0))</f>
        <v>0</v>
      </c>
      <c r="AE85" s="31">
        <f>IF(VLOOKUP($A85,Input!$A$62:$B$74,2,FALSE)="Percentage",AF$70,IF(VLOOKUP($A85,Input!$A$62:$B$74,2,FALSE)="Fixed","Fixed",(AE$70)))</f>
        <v>11</v>
      </c>
      <c r="AF85" s="25">
        <f t="shared" si="44"/>
        <v>0</v>
      </c>
      <c r="AH85" s="173">
        <f>INDEX(Input!$C$62:$AM$74,MATCH($A85,Input!$A$62:$A$74,0),MATCH(AH$61,Input!$C$61:$AM$61,0))</f>
        <v>0</v>
      </c>
      <c r="AI85" s="31">
        <f>IF(VLOOKUP($A85,Input!$A$62:$B$74,2,FALSE)="Percentage",AJ$70,IF(VLOOKUP($A85,Input!$A$62:$B$74,2,FALSE)="Fixed","Fixed",(AI$70)))</f>
        <v>11</v>
      </c>
      <c r="AJ85" s="25">
        <f t="shared" si="45"/>
        <v>0</v>
      </c>
      <c r="AL85" s="173">
        <f>INDEX(Input!$C$62:$AM$74,MATCH($A85,Input!$A$62:$A$74,0),MATCH(AL$61,Input!$C$61:$AM$61,0))</f>
        <v>0</v>
      </c>
      <c r="AM85" s="31">
        <f>IF(VLOOKUP($A85,Input!$A$62:$B$74,2,FALSE)="Percentage",AN$70,IF(VLOOKUP($A85,Input!$A$62:$B$74,2,FALSE)="Fixed","Fixed",(AM$70)))</f>
        <v>11</v>
      </c>
      <c r="AN85" s="25">
        <f t="shared" si="46"/>
        <v>0</v>
      </c>
      <c r="AP85" s="173">
        <f>INDEX(Input!$C$62:$AM$74,MATCH($A85,Input!$A$62:$A$74,0),MATCH(AP$61,Input!$C$61:$AM$61,0))</f>
        <v>0</v>
      </c>
      <c r="AQ85" s="31">
        <f>IF(VLOOKUP($A85,Input!$A$62:$B$74,2,FALSE)="Percentage",AR$70,IF(VLOOKUP($A85,Input!$A$62:$B$74,2,FALSE)="Fixed","Fixed",(AQ$70)))</f>
        <v>11</v>
      </c>
      <c r="AR85" s="25">
        <f t="shared" si="47"/>
        <v>0</v>
      </c>
      <c r="AS85" s="30"/>
      <c r="AT85" s="173">
        <f>INDEX(Input!$C$62:$AM$74,MATCH($A85,Input!$A$62:$A$74,0),MATCH(AT$61,Input!$C$61:$AM$61,0))</f>
        <v>0</v>
      </c>
      <c r="AU85" s="31">
        <f>IF(VLOOKUP($A85,Input!$A$62:$B$74,2,FALSE)="Percentage",AV$70,IF(VLOOKUP($A85,Input!$A$62:$B$74,2,FALSE)="Fixed","Fixed",(AU$70)))</f>
        <v>11</v>
      </c>
      <c r="AV85" s="25">
        <f t="shared" si="48"/>
        <v>0</v>
      </c>
    </row>
    <row r="86" spans="1:48" x14ac:dyDescent="0.55000000000000004">
      <c r="A86" t="s">
        <v>39</v>
      </c>
      <c r="B86" s="16"/>
      <c r="C86" s="17"/>
      <c r="D86" s="26">
        <f>SUM(D73:D85)</f>
        <v>-16.54</v>
      </c>
      <c r="F86" s="16"/>
      <c r="G86" s="17"/>
      <c r="H86" s="26">
        <f>SUM(H73:H85)</f>
        <v>-16.54</v>
      </c>
      <c r="J86" s="16"/>
      <c r="K86" s="17"/>
      <c r="L86" s="26">
        <f>SUM(L73:L85)</f>
        <v>-16.54</v>
      </c>
      <c r="N86" s="16"/>
      <c r="O86" s="17"/>
      <c r="P86" s="26">
        <f>SUM(P73:P85)</f>
        <v>-16.54</v>
      </c>
      <c r="R86" s="16"/>
      <c r="S86" s="17"/>
      <c r="T86" s="26">
        <f>SUM(T73:T85)</f>
        <v>-16.54</v>
      </c>
      <c r="V86" s="16"/>
      <c r="W86" s="17"/>
      <c r="X86" s="26">
        <f>SUM(X73:X85)</f>
        <v>-16.54</v>
      </c>
      <c r="Z86" s="16"/>
      <c r="AA86" s="17"/>
      <c r="AB86" s="26">
        <f>SUM(AB73:AB85)</f>
        <v>-16.54</v>
      </c>
      <c r="AD86" s="16"/>
      <c r="AE86" s="17"/>
      <c r="AF86" s="26">
        <f>SUM(AF73:AF85)</f>
        <v>-16.54</v>
      </c>
      <c r="AH86" s="16"/>
      <c r="AI86" s="17"/>
      <c r="AJ86" s="26">
        <f>SUM(AJ73:AJ85)</f>
        <v>-16.54</v>
      </c>
      <c r="AL86" s="16"/>
      <c r="AM86" s="17"/>
      <c r="AN86" s="26">
        <f>SUM(AN73:AN85)</f>
        <v>-16.54</v>
      </c>
      <c r="AP86" s="16"/>
      <c r="AQ86" s="17"/>
      <c r="AR86" s="26">
        <f>SUM(AR73:AR85)</f>
        <v>-16.54</v>
      </c>
      <c r="AS86" s="16"/>
      <c r="AT86" s="16"/>
      <c r="AU86" s="64">
        <f>SUM(AU73:AU85)</f>
        <v>210.30477235659757</v>
      </c>
      <c r="AV86" s="26">
        <f>SUM(AV73:AV85)</f>
        <v>-16.54</v>
      </c>
    </row>
    <row r="87" spans="1:48" x14ac:dyDescent="0.55000000000000004">
      <c r="B87" s="16"/>
      <c r="C87" s="17"/>
      <c r="D87" s="19"/>
      <c r="F87" s="16"/>
      <c r="G87" s="17"/>
      <c r="H87" s="19"/>
      <c r="J87" s="16"/>
      <c r="K87" s="17"/>
      <c r="L87" s="19"/>
      <c r="N87" s="16"/>
      <c r="O87" s="17"/>
      <c r="P87" s="19"/>
      <c r="R87" s="16"/>
      <c r="S87" s="17"/>
      <c r="T87" s="19"/>
      <c r="V87" s="16"/>
      <c r="W87" s="17"/>
      <c r="X87" s="19"/>
      <c r="Z87" s="16"/>
      <c r="AA87" s="17"/>
      <c r="AB87" s="19"/>
      <c r="AD87" s="16"/>
      <c r="AE87" s="17"/>
      <c r="AF87" s="19"/>
      <c r="AH87" s="16"/>
      <c r="AI87" s="17"/>
      <c r="AJ87" s="19"/>
      <c r="AL87" s="16"/>
      <c r="AM87" s="17"/>
      <c r="AN87" s="19"/>
      <c r="AP87" s="16"/>
      <c r="AQ87" s="17"/>
      <c r="AR87" s="19"/>
      <c r="AS87" s="17"/>
      <c r="AT87" s="16"/>
      <c r="AU87" s="17"/>
      <c r="AV87" s="19"/>
    </row>
    <row r="88" spans="1:48" x14ac:dyDescent="0.55000000000000004">
      <c r="A88" s="1" t="s">
        <v>35</v>
      </c>
      <c r="B88" s="20" t="s">
        <v>29</v>
      </c>
      <c r="C88" s="21" t="s">
        <v>45</v>
      </c>
      <c r="D88" s="22" t="s">
        <v>30</v>
      </c>
      <c r="F88" s="20" t="s">
        <v>29</v>
      </c>
      <c r="G88" s="21" t="s">
        <v>45</v>
      </c>
      <c r="H88" s="111" t="s">
        <v>30</v>
      </c>
      <c r="J88" s="20" t="s">
        <v>29</v>
      </c>
      <c r="K88" s="21" t="s">
        <v>45</v>
      </c>
      <c r="L88" s="111" t="s">
        <v>30</v>
      </c>
      <c r="N88" s="20" t="s">
        <v>29</v>
      </c>
      <c r="O88" s="21" t="s">
        <v>45</v>
      </c>
      <c r="P88" s="111" t="s">
        <v>30</v>
      </c>
      <c r="R88" s="20" t="s">
        <v>29</v>
      </c>
      <c r="S88" s="21" t="s">
        <v>45</v>
      </c>
      <c r="T88" s="111" t="s">
        <v>30</v>
      </c>
      <c r="V88" s="20" t="s">
        <v>29</v>
      </c>
      <c r="W88" s="21" t="s">
        <v>45</v>
      </c>
      <c r="X88" s="111" t="s">
        <v>30</v>
      </c>
      <c r="Z88" s="20" t="s">
        <v>29</v>
      </c>
      <c r="AA88" s="21" t="s">
        <v>45</v>
      </c>
      <c r="AB88" s="111" t="s">
        <v>30</v>
      </c>
      <c r="AD88" s="20" t="s">
        <v>29</v>
      </c>
      <c r="AE88" s="21" t="s">
        <v>45</v>
      </c>
      <c r="AF88" s="111" t="s">
        <v>30</v>
      </c>
      <c r="AH88" s="20" t="s">
        <v>29</v>
      </c>
      <c r="AI88" s="21" t="s">
        <v>45</v>
      </c>
      <c r="AJ88" s="111" t="s">
        <v>30</v>
      </c>
      <c r="AL88" s="20" t="s">
        <v>29</v>
      </c>
      <c r="AM88" s="21" t="s">
        <v>45</v>
      </c>
      <c r="AN88" s="111" t="s">
        <v>30</v>
      </c>
      <c r="AP88" s="20" t="s">
        <v>29</v>
      </c>
      <c r="AQ88" s="21" t="s">
        <v>45</v>
      </c>
      <c r="AR88" s="111" t="s">
        <v>30</v>
      </c>
      <c r="AS88" s="170"/>
      <c r="AT88" s="20" t="s">
        <v>29</v>
      </c>
      <c r="AU88" s="21" t="s">
        <v>45</v>
      </c>
      <c r="AV88" s="111" t="s">
        <v>30</v>
      </c>
    </row>
    <row r="89" spans="1:48" x14ac:dyDescent="0.55000000000000004">
      <c r="A89" t="str">
        <f>A41</f>
        <v>CPUC Fee</v>
      </c>
      <c r="B89" s="29">
        <f>INDEX(Input!$C$77:$AL$82,MATCH('Residential Bills_Yr 3_avg'!$A$41,Input!$A$77:$A$82,0),MATCH('Residential Bills_Yr 3_avg'!B61:D61,Input!$C$76:$AL$76,0))</f>
        <v>8.0000000000000002E-3</v>
      </c>
      <c r="C89" s="30">
        <f>D70+D86</f>
        <v>94.604772356597579</v>
      </c>
      <c r="D89" s="25">
        <f>ROUND(B89*C89,2)</f>
        <v>0.76</v>
      </c>
      <c r="F89" s="29">
        <f>INDEX(Input!$C$77:$AL$82,MATCH('Residential Bills_Yr 3_avg'!$A$41,Input!$A$77:$A$82,0),MATCH('Residential Bills_Yr 3_avg'!F61:H61,Input!$C$76:$AL$76,0))</f>
        <v>8.0000000000000002E-3</v>
      </c>
      <c r="G89" s="30">
        <f>H70+H86</f>
        <v>94.604772356597579</v>
      </c>
      <c r="H89" s="25">
        <f>ROUND(F89*G89,2)</f>
        <v>0.76</v>
      </c>
      <c r="J89" s="29">
        <f>INDEX(Input!$C$77:$AL$82,MATCH('Residential Bills_Yr 3_avg'!$A$41,Input!$A$77:$A$82,0),MATCH('Residential Bills_Yr 3_avg'!J61:L61,Input!$C$76:$AL$76,0))</f>
        <v>8.0000000000000002E-3</v>
      </c>
      <c r="K89" s="30">
        <f>L70+L86</f>
        <v>94.604772356597579</v>
      </c>
      <c r="L89" s="25">
        <f>ROUND(J89*K89,2)</f>
        <v>0.76</v>
      </c>
      <c r="N89" s="29">
        <f>INDEX(Input!$C$77:$AL$82,MATCH('Residential Bills_Yr 3_avg'!$A$41,Input!$A$77:$A$82,0),MATCH('Residential Bills_Yr 3_avg'!N61:P61,Input!$C$76:$AL$76,0))</f>
        <v>8.0000000000000002E-3</v>
      </c>
      <c r="O89" s="30">
        <f>P70+P86</f>
        <v>94.604772356597579</v>
      </c>
      <c r="P89" s="25">
        <f>ROUND(N89*O89,2)</f>
        <v>0.76</v>
      </c>
      <c r="R89" s="29">
        <f>INDEX(Input!$C$77:$AL$82,MATCH('Residential Bills_Yr 3_avg'!$A$41,Input!$A$77:$A$82,0),MATCH('Residential Bills_Yr 3_avg'!R61:T61,Input!$C$76:$AL$76,0))</f>
        <v>8.0000000000000002E-3</v>
      </c>
      <c r="S89" s="30">
        <f>T70+T86</f>
        <v>94.604772356597579</v>
      </c>
      <c r="T89" s="25">
        <f>ROUND(R89*S89,2)</f>
        <v>0.76</v>
      </c>
      <c r="V89" s="29">
        <f>INDEX(Input!$C$77:$AL$82,MATCH('Residential Bills_Yr 3_avg'!$A$41,Input!$A$77:$A$82,0),MATCH('Residential Bills_Yr 3_avg'!V61:X61,Input!$C$76:$AL$76,0))</f>
        <v>8.0000000000000002E-3</v>
      </c>
      <c r="W89" s="30">
        <f>X70+X86</f>
        <v>94.604772356597579</v>
      </c>
      <c r="X89" s="25">
        <f>ROUND(V89*W89,2)</f>
        <v>0.76</v>
      </c>
      <c r="Z89" s="29">
        <f>INDEX(Input!$C$77:$AL$82,MATCH('Residential Bills_Yr 3_avg'!$A$41,Input!$A$77:$A$82,0),MATCH('Residential Bills_Yr 3_avg'!Z61:AB61,Input!$C$76:$AL$76,0))</f>
        <v>8.0000000000000002E-3</v>
      </c>
      <c r="AA89" s="30">
        <f>AB70+AB86</f>
        <v>94.604772356597579</v>
      </c>
      <c r="AB89" s="25">
        <f>ROUND(Z89*AA89,2)</f>
        <v>0.76</v>
      </c>
      <c r="AD89" s="29">
        <f>INDEX(Input!$C$77:$AL$82,MATCH('Residential Bills_Yr 3_avg'!$A$41,Input!$A$77:$A$82,0),MATCH('Residential Bills_Yr 3_avg'!AD61:AF61,Input!$C$76:$AL$76,0))</f>
        <v>8.0000000000000002E-3</v>
      </c>
      <c r="AE89" s="30">
        <f>AF70+AF86</f>
        <v>94.604772356597579</v>
      </c>
      <c r="AF89" s="25">
        <f>ROUND(AD89*AE89,2)</f>
        <v>0.76</v>
      </c>
      <c r="AH89" s="29">
        <f>INDEX(Input!$C$77:$AL$82,MATCH('Residential Bills_Yr 3_avg'!$A$41,Input!$A$77:$A$82,0),MATCH('Residential Bills_Yr 3_avg'!AH61:AJ61,Input!$C$76:$AL$76,0))</f>
        <v>8.0000000000000002E-3</v>
      </c>
      <c r="AI89" s="30">
        <f>AJ70+AJ86</f>
        <v>94.604772356597579</v>
      </c>
      <c r="AJ89" s="25">
        <f>ROUND(AH89*AI89,2)</f>
        <v>0.76</v>
      </c>
      <c r="AL89" s="29">
        <f>INDEX(Input!$C$77:$AL$82,MATCH('Residential Bills_Yr 3_avg'!$A$41,Input!$A$77:$A$82,0),MATCH('Residential Bills_Yr 3_avg'!AL61:AN61,Input!$C$76:$AL$76,0))</f>
        <v>8.0000000000000002E-3</v>
      </c>
      <c r="AM89" s="30">
        <f>AN70+AN86</f>
        <v>94.604772356597579</v>
      </c>
      <c r="AN89" s="25">
        <f>ROUND(AL89*AM89,2)</f>
        <v>0.76</v>
      </c>
      <c r="AP89" s="29">
        <f>INDEX(Input!$C$77:$AL$82,MATCH('Residential Bills_Yr 3_avg'!$A$41,Input!$A$77:$A$82,0),MATCH('Residential Bills_Yr 3_avg'!AP61:AR61,Input!$C$76:$AL$76,0))</f>
        <v>8.0000000000000002E-3</v>
      </c>
      <c r="AQ89" s="30">
        <f>AR70+AR86</f>
        <v>94.604772356597579</v>
      </c>
      <c r="AR89" s="25">
        <f>ROUND(AP89*AQ89,2)</f>
        <v>0.76</v>
      </c>
      <c r="AS89" s="30"/>
      <c r="AT89" s="29">
        <f>INDEX(Input!$C$77:$AL$82,MATCH('Residential Bills_Yr 3_avg'!$A$41,Input!$A$77:$A$82,0),MATCH('Residential Bills_Yr 3_avg'!AT61:AV61,Input!$C$76:$AL$76,0))</f>
        <v>8.0000000000000002E-3</v>
      </c>
      <c r="AU89" s="30">
        <f>AV70+AV86</f>
        <v>94.604772356597579</v>
      </c>
      <c r="AV89" s="25">
        <f>ROUND(AT89*AU89,2)</f>
        <v>0.76</v>
      </c>
    </row>
    <row r="90" spans="1:48" ht="14.5" customHeight="1" x14ac:dyDescent="0.55000000000000004">
      <c r="A90" t="str">
        <f>+A42</f>
        <v>CSJ UTT</v>
      </c>
      <c r="B90" s="29">
        <f>INDEX(Input!$C$77:$AL$82,MATCH('Residential Bills_Yr 1_avg'!$A$42,Input!$A$77:$A$82,0),MATCH('Residential Bills_Yr 1_avg'!B61,Input!$C$76:$AL$76,0))</f>
        <v>0.05</v>
      </c>
      <c r="C90" s="30">
        <f>D70+D86+D89</f>
        <v>95.364772356597584</v>
      </c>
      <c r="D90" s="25">
        <f>ROUND(B90*C90,2)</f>
        <v>4.7699999999999996</v>
      </c>
      <c r="F90" s="29">
        <f>INDEX(Input!$C$77:$AL$82,MATCH('Residential Bills_Yr 1_avg'!$A$42,Input!$A$77:$A$82,0),MATCH('Residential Bills_Yr 1_avg'!F61,Input!$C$76:$AL$76,0))</f>
        <v>0.05</v>
      </c>
      <c r="G90" s="30">
        <f>H70+H86+H89</f>
        <v>95.364772356597584</v>
      </c>
      <c r="H90" s="25">
        <f>ROUND(F90*G90,2)</f>
        <v>4.7699999999999996</v>
      </c>
      <c r="J90" s="29">
        <f>INDEX(Input!$C$77:$AL$82,MATCH('Residential Bills_Yr 1_avg'!$A$42,Input!$A$77:$A$82,0),MATCH('Residential Bills_Yr 1_avg'!J61,Input!$C$76:$AL$76,0))</f>
        <v>0.05</v>
      </c>
      <c r="K90" s="30">
        <f>L70+L86+L89</f>
        <v>95.364772356597584</v>
      </c>
      <c r="L90" s="25">
        <f>ROUND(J90*K90,2)</f>
        <v>4.7699999999999996</v>
      </c>
      <c r="N90" s="29">
        <f>INDEX(Input!$C$77:$AL$82,MATCH('Residential Bills_Yr 1_avg'!$A$42,Input!$A$77:$A$82,0),MATCH('Residential Bills_Yr 1_avg'!N61,Input!$C$76:$AL$76,0))</f>
        <v>0.05</v>
      </c>
      <c r="O90" s="30">
        <f>P70+P86+P89</f>
        <v>95.364772356597584</v>
      </c>
      <c r="P90" s="25">
        <f>ROUND(N90*O90,2)</f>
        <v>4.7699999999999996</v>
      </c>
      <c r="R90" s="29">
        <f>INDEX(Input!$C$77:$AL$82,MATCH('Residential Bills_Yr 1_avg'!$A$42,Input!$A$77:$A$82,0),MATCH('Residential Bills_Yr 1_avg'!R61,Input!$C$76:$AL$76,0))</f>
        <v>0.05</v>
      </c>
      <c r="S90" s="30">
        <f>T70+T86+T89</f>
        <v>95.364772356597584</v>
      </c>
      <c r="T90" s="25">
        <f>ROUND(R90*S90,2)</f>
        <v>4.7699999999999996</v>
      </c>
      <c r="V90" s="29">
        <f>INDEX(Input!$C$77:$AL$82,MATCH('Residential Bills_Yr 1_avg'!$A$42,Input!$A$77:$A$82,0),MATCH('Residential Bills_Yr 1_avg'!V61,Input!$C$76:$AL$76,0))</f>
        <v>0.05</v>
      </c>
      <c r="W90" s="30">
        <f>X70+X86+X89</f>
        <v>95.364772356597584</v>
      </c>
      <c r="X90" s="25">
        <f>ROUND(V90*W90,2)</f>
        <v>4.7699999999999996</v>
      </c>
      <c r="Z90" s="29">
        <f>INDEX(Input!$C$77:$AL$82,MATCH('Residential Bills_Yr 1_avg'!$A$42,Input!$A$77:$A$82,0),MATCH('Residential Bills_Yr 1_avg'!Z61,Input!$C$76:$AL$76,0))</f>
        <v>0.05</v>
      </c>
      <c r="AA90" s="30">
        <f>AB70+AB86+AB89</f>
        <v>95.364772356597584</v>
      </c>
      <c r="AB90" s="25">
        <f>ROUND(Z90*AA90,2)</f>
        <v>4.7699999999999996</v>
      </c>
      <c r="AD90" s="29">
        <f>INDEX(Input!$C$77:$AL$82,MATCH('Residential Bills_Yr 1_avg'!$A$42,Input!$A$77:$A$82,0),MATCH('Residential Bills_Yr 1_avg'!AD61,Input!$C$76:$AL$76,0))</f>
        <v>0.05</v>
      </c>
      <c r="AE90" s="30">
        <f>AF70+AF86+AF89</f>
        <v>95.364772356597584</v>
      </c>
      <c r="AF90" s="25">
        <f>ROUND(AD90*AE90,2)</f>
        <v>4.7699999999999996</v>
      </c>
      <c r="AH90" s="29">
        <f>INDEX(Input!$C$77:$AL$82,MATCH('Residential Bills_Yr 1_avg'!$A$42,Input!$A$77:$A$82,0),MATCH('Residential Bills_Yr 1_avg'!AH61,Input!$C$76:$AL$76,0))</f>
        <v>0.05</v>
      </c>
      <c r="AI90" s="30">
        <f>AJ70+AJ86+AJ89</f>
        <v>95.364772356597584</v>
      </c>
      <c r="AJ90" s="25">
        <f>ROUND(AH90*AI90,2)</f>
        <v>4.7699999999999996</v>
      </c>
      <c r="AL90" s="29">
        <f>INDEX(Input!$C$77:$AL$82,MATCH('Residential Bills_Yr 1_avg'!$A$42,Input!$A$77:$A$82,0),MATCH('Residential Bills_Yr 1_avg'!AL61,Input!$C$76:$AL$76,0))</f>
        <v>0.05</v>
      </c>
      <c r="AM90" s="30">
        <f>AN70+AN86+AN89</f>
        <v>95.364772356597584</v>
      </c>
      <c r="AN90" s="25">
        <f>ROUND(AL90*AM90,2)</f>
        <v>4.7699999999999996</v>
      </c>
      <c r="AP90" s="29">
        <f>INDEX(Input!$C$77:$AL$82,MATCH('Residential Bills_Yr 1_avg'!$A$42,Input!$A$77:$A$82,0),MATCH('Residential Bills_Yr 1_avg'!AP61,Input!$C$76:$AL$76,0))</f>
        <v>0.05</v>
      </c>
      <c r="AQ90" s="30">
        <f>AR70+AR86+AR89</f>
        <v>95.364772356597584</v>
      </c>
      <c r="AR90" s="25">
        <f>ROUND(AP90*AQ90,2)</f>
        <v>4.7699999999999996</v>
      </c>
      <c r="AS90" s="17"/>
      <c r="AT90" s="29">
        <f>INDEX(Input!$C$77:$AL$82,MATCH('Residential Bills_Yr 1_avg'!$A$42,Input!$A$77:$A$82,0),MATCH('Residential Bills_Yr 1_avg'!AT61,Input!$C$76:$AL$76,0))</f>
        <v>0.05</v>
      </c>
      <c r="AU90" s="30">
        <f>AV70+AV86+AV89</f>
        <v>95.364772356597584</v>
      </c>
      <c r="AV90" s="25">
        <f>ROUND(AT90*AU90,2)</f>
        <v>4.7699999999999996</v>
      </c>
    </row>
    <row r="91" spans="1:48" ht="14.5" customHeight="1" x14ac:dyDescent="0.55000000000000004">
      <c r="A91">
        <f>+Input!A123</f>
        <v>0</v>
      </c>
      <c r="B91" s="29"/>
      <c r="C91" s="17"/>
      <c r="D91" s="19"/>
      <c r="F91" s="29"/>
      <c r="G91" s="17"/>
      <c r="H91" s="19"/>
      <c r="J91" s="29"/>
      <c r="K91" s="17"/>
      <c r="L91" s="19"/>
      <c r="N91" s="29"/>
      <c r="O91" s="17"/>
      <c r="P91" s="19"/>
      <c r="R91" s="29"/>
      <c r="S91" s="17"/>
      <c r="T91" s="19"/>
      <c r="V91" s="29"/>
      <c r="W91" s="17"/>
      <c r="X91" s="19"/>
      <c r="Z91" s="29"/>
      <c r="AA91" s="17"/>
      <c r="AB91" s="19"/>
      <c r="AD91" s="29"/>
      <c r="AE91" s="17"/>
      <c r="AF91" s="19"/>
      <c r="AH91" s="29"/>
      <c r="AI91" s="17"/>
      <c r="AJ91" s="19"/>
      <c r="AL91" s="29"/>
      <c r="AM91" s="17"/>
      <c r="AN91" s="19"/>
      <c r="AP91" s="29"/>
      <c r="AQ91" s="17"/>
      <c r="AR91" s="19"/>
      <c r="AS91" s="17"/>
      <c r="AT91" s="29"/>
      <c r="AU91" s="17"/>
      <c r="AV91" s="19"/>
    </row>
    <row r="92" spans="1:48" ht="14.5" customHeight="1" x14ac:dyDescent="0.55000000000000004">
      <c r="A92">
        <f>+Input!A124</f>
        <v>0</v>
      </c>
      <c r="B92" s="29"/>
      <c r="C92" s="17"/>
      <c r="D92" s="19"/>
      <c r="F92" s="29"/>
      <c r="G92" s="17"/>
      <c r="H92" s="19"/>
      <c r="J92" s="29"/>
      <c r="K92" s="17"/>
      <c r="L92" s="19"/>
      <c r="N92" s="29"/>
      <c r="O92" s="17"/>
      <c r="P92" s="19"/>
      <c r="R92" s="29"/>
      <c r="S92" s="17"/>
      <c r="T92" s="19"/>
      <c r="V92" s="29"/>
      <c r="W92" s="17"/>
      <c r="X92" s="19"/>
      <c r="Z92" s="29"/>
      <c r="AA92" s="17"/>
      <c r="AB92" s="19"/>
      <c r="AD92" s="29"/>
      <c r="AE92" s="17"/>
      <c r="AF92" s="19"/>
      <c r="AH92" s="29"/>
      <c r="AI92" s="17"/>
      <c r="AJ92" s="19"/>
      <c r="AL92" s="29"/>
      <c r="AM92" s="17"/>
      <c r="AN92" s="19"/>
      <c r="AP92" s="29"/>
      <c r="AQ92" s="17"/>
      <c r="AR92" s="19"/>
      <c r="AS92" s="17"/>
      <c r="AT92" s="29"/>
      <c r="AU92" s="17"/>
      <c r="AV92" s="19"/>
    </row>
    <row r="93" spans="1:48" ht="14.5" customHeight="1" x14ac:dyDescent="0.55000000000000004">
      <c r="A93">
        <f>+Input!A125</f>
        <v>0</v>
      </c>
      <c r="B93" s="29"/>
      <c r="C93" s="17"/>
      <c r="D93" s="19"/>
      <c r="F93" s="29"/>
      <c r="G93" s="17"/>
      <c r="H93" s="19"/>
      <c r="J93" s="29"/>
      <c r="K93" s="17"/>
      <c r="L93" s="19"/>
      <c r="N93" s="29"/>
      <c r="O93" s="17"/>
      <c r="P93" s="19"/>
      <c r="R93" s="29"/>
      <c r="S93" s="17"/>
      <c r="T93" s="19"/>
      <c r="V93" s="29"/>
      <c r="W93" s="17"/>
      <c r="X93" s="19"/>
      <c r="Z93" s="29"/>
      <c r="AA93" s="17"/>
      <c r="AB93" s="19"/>
      <c r="AD93" s="29"/>
      <c r="AE93" s="17"/>
      <c r="AF93" s="19"/>
      <c r="AH93" s="29"/>
      <c r="AI93" s="17"/>
      <c r="AJ93" s="19"/>
      <c r="AL93" s="29"/>
      <c r="AM93" s="17"/>
      <c r="AN93" s="19"/>
      <c r="AP93" s="29"/>
      <c r="AQ93" s="17"/>
      <c r="AR93" s="19"/>
      <c r="AS93" s="17"/>
      <c r="AT93" s="29"/>
      <c r="AU93" s="17"/>
      <c r="AV93" s="19"/>
    </row>
    <row r="94" spans="1:48" ht="14.5" customHeight="1" x14ac:dyDescent="0.55000000000000004">
      <c r="A94">
        <f>+Input!A126</f>
        <v>0</v>
      </c>
      <c r="B94" s="29"/>
      <c r="C94" s="17"/>
      <c r="D94" s="19"/>
      <c r="F94" s="29"/>
      <c r="G94" s="17"/>
      <c r="H94" s="19"/>
      <c r="J94" s="29"/>
      <c r="K94" s="17"/>
      <c r="L94" s="19"/>
      <c r="N94" s="29"/>
      <c r="O94" s="17"/>
      <c r="P94" s="19"/>
      <c r="R94" s="29"/>
      <c r="S94" s="17"/>
      <c r="T94" s="19"/>
      <c r="V94" s="29"/>
      <c r="W94" s="17"/>
      <c r="X94" s="19"/>
      <c r="Z94" s="29"/>
      <c r="AA94" s="17"/>
      <c r="AB94" s="19"/>
      <c r="AD94" s="29"/>
      <c r="AE94" s="17"/>
      <c r="AF94" s="19"/>
      <c r="AH94" s="29"/>
      <c r="AI94" s="17"/>
      <c r="AJ94" s="19"/>
      <c r="AL94" s="29"/>
      <c r="AM94" s="17"/>
      <c r="AN94" s="19"/>
      <c r="AP94" s="29"/>
      <c r="AQ94" s="17"/>
      <c r="AR94" s="19"/>
      <c r="AS94" s="17"/>
      <c r="AT94" s="29"/>
      <c r="AU94" s="17"/>
      <c r="AV94" s="19"/>
    </row>
    <row r="95" spans="1:48" x14ac:dyDescent="0.55000000000000004">
      <c r="A95" t="s">
        <v>39</v>
      </c>
      <c r="B95" s="16"/>
      <c r="C95" s="17"/>
      <c r="D95" s="26">
        <f>SUM(D89:D94)</f>
        <v>5.5299999999999994</v>
      </c>
      <c r="F95" s="16"/>
      <c r="G95" s="17"/>
      <c r="H95" s="26">
        <f>SUM(H89:H94)</f>
        <v>5.5299999999999994</v>
      </c>
      <c r="J95" s="16"/>
      <c r="K95" s="17"/>
      <c r="L95" s="26">
        <f>SUM(L89:L94)</f>
        <v>5.5299999999999994</v>
      </c>
      <c r="N95" s="16"/>
      <c r="O95" s="17"/>
      <c r="P95" s="26">
        <f>SUM(P89:P94)</f>
        <v>5.5299999999999994</v>
      </c>
      <c r="R95" s="16"/>
      <c r="S95" s="17"/>
      <c r="T95" s="26">
        <f>SUM(T89:T94)</f>
        <v>5.5299999999999994</v>
      </c>
      <c r="V95" s="16"/>
      <c r="W95" s="17"/>
      <c r="X95" s="26">
        <f>SUM(X89:X94)</f>
        <v>5.5299999999999994</v>
      </c>
      <c r="Z95" s="16"/>
      <c r="AA95" s="17"/>
      <c r="AB95" s="26">
        <f>SUM(AB89:AB94)</f>
        <v>5.5299999999999994</v>
      </c>
      <c r="AD95" s="16"/>
      <c r="AE95" s="17"/>
      <c r="AF95" s="26">
        <f>SUM(AF89:AF94)</f>
        <v>5.5299999999999994</v>
      </c>
      <c r="AH95" s="16"/>
      <c r="AI95" s="17"/>
      <c r="AJ95" s="26">
        <f>SUM(AJ89:AJ94)</f>
        <v>5.5299999999999994</v>
      </c>
      <c r="AL95" s="16"/>
      <c r="AM95" s="17"/>
      <c r="AN95" s="26">
        <f>SUM(AN89:AN94)</f>
        <v>5.5299999999999994</v>
      </c>
      <c r="AP95" s="16"/>
      <c r="AQ95" s="17"/>
      <c r="AR95" s="26">
        <f>SUM(AR89:AR94)</f>
        <v>5.5299999999999994</v>
      </c>
      <c r="AS95" s="17"/>
      <c r="AT95" s="16"/>
      <c r="AU95" s="17"/>
      <c r="AV95" s="26">
        <f>SUM(AV89:AV94)</f>
        <v>5.5299999999999994</v>
      </c>
    </row>
    <row r="96" spans="1:48" x14ac:dyDescent="0.55000000000000004">
      <c r="B96" s="16"/>
      <c r="C96" s="17"/>
      <c r="D96" s="19"/>
      <c r="F96" s="16"/>
      <c r="G96" s="17"/>
      <c r="H96" s="19"/>
      <c r="J96" s="16"/>
      <c r="K96" s="17"/>
      <c r="L96" s="19"/>
      <c r="N96" s="16"/>
      <c r="O96" s="17"/>
      <c r="P96" s="19"/>
      <c r="R96" s="16"/>
      <c r="S96" s="17"/>
      <c r="T96" s="19"/>
      <c r="V96" s="16"/>
      <c r="W96" s="17"/>
      <c r="X96" s="19"/>
      <c r="Z96" s="16"/>
      <c r="AA96" s="17"/>
      <c r="AB96" s="19"/>
      <c r="AD96" s="16"/>
      <c r="AE96" s="17"/>
      <c r="AF96" s="19"/>
      <c r="AH96" s="16"/>
      <c r="AI96" s="17"/>
      <c r="AJ96" s="19"/>
      <c r="AL96" s="16"/>
      <c r="AM96" s="17"/>
      <c r="AN96" s="19"/>
      <c r="AP96" s="16"/>
      <c r="AQ96" s="17"/>
      <c r="AR96" s="19"/>
      <c r="AS96" s="17"/>
      <c r="AT96" s="16"/>
      <c r="AU96" s="17"/>
      <c r="AV96" s="19"/>
    </row>
    <row r="97" spans="1:48" ht="14.7" thickBot="1" x14ac:dyDescent="0.6">
      <c r="A97" t="s">
        <v>40</v>
      </c>
      <c r="B97" s="27"/>
      <c r="C97" s="28"/>
      <c r="D97" s="32">
        <f>D70+D86+D95</f>
        <v>100.13477235659758</v>
      </c>
      <c r="F97" s="27"/>
      <c r="G97" s="28"/>
      <c r="H97" s="32">
        <f>H70+H86+H95</f>
        <v>100.13477235659758</v>
      </c>
      <c r="J97" s="27"/>
      <c r="K97" s="28"/>
      <c r="L97" s="32">
        <f>L70+L86+L95</f>
        <v>100.13477235659758</v>
      </c>
      <c r="N97" s="27"/>
      <c r="O97" s="28"/>
      <c r="P97" s="32">
        <f>P70+P86+P95</f>
        <v>100.13477235659758</v>
      </c>
      <c r="R97" s="27"/>
      <c r="S97" s="28"/>
      <c r="T97" s="32">
        <f>T70+T86+T95</f>
        <v>100.13477235659758</v>
      </c>
      <c r="V97" s="27"/>
      <c r="W97" s="28"/>
      <c r="X97" s="32">
        <f>X70+X86+X95</f>
        <v>100.13477235659758</v>
      </c>
      <c r="Z97" s="27"/>
      <c r="AA97" s="28"/>
      <c r="AB97" s="32">
        <f>AB70+AB86+AB95</f>
        <v>100.13477235659758</v>
      </c>
      <c r="AD97" s="27"/>
      <c r="AE97" s="28"/>
      <c r="AF97" s="32">
        <f>AF70+AF86+AF95</f>
        <v>100.13477235659758</v>
      </c>
      <c r="AH97" s="27"/>
      <c r="AI97" s="28"/>
      <c r="AJ97" s="32">
        <f>AJ70+AJ86+AJ95</f>
        <v>100.13477235659758</v>
      </c>
      <c r="AL97" s="27"/>
      <c r="AM97" s="28"/>
      <c r="AN97" s="32">
        <f>AN70+AN86+AN95</f>
        <v>100.13477235659758</v>
      </c>
      <c r="AP97" s="27"/>
      <c r="AQ97" s="28"/>
      <c r="AR97" s="32">
        <f>AR70+AR86+AR95</f>
        <v>100.13477235659758</v>
      </c>
      <c r="AS97" s="176"/>
      <c r="AT97" s="27"/>
      <c r="AU97" s="28"/>
      <c r="AV97" s="32">
        <f>AV70+AV86+AV95</f>
        <v>100.13477235659758</v>
      </c>
    </row>
    <row r="99" spans="1:48" x14ac:dyDescent="0.55000000000000004">
      <c r="A99" t="s">
        <v>81</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C8909241-3EE2-4C59-BC42-8934047250CE}">
            <xm:f>OR(Input!$B46="Fixed",Input!$B46="Volumetric")</xm:f>
            <x14:dxf>
              <numFmt numFmtId="171" formatCode="&quot;$&quot;#,##0.000"/>
            </x14:dxf>
          </x14:cfRule>
          <x14:cfRule type="expression" priority="6" id="{AACEEA99-E222-4041-A9DA-719D6A7BE6D8}">
            <xm:f>Input!$B46="Percentage"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6C0A8D1E-FC51-4772-9FAE-917394D7B0F7}">
            <xm:f>OR(Input!$B62="Fixed",Input!$B62="Volumetric")</xm:f>
            <x14:dxf>
              <numFmt numFmtId="171" formatCode="&quot;$&quot;#,##0.000"/>
            </x14:dxf>
          </x14:cfRule>
          <x14:cfRule type="expression" priority="2" id="{B0FA0646-F711-4834-9802-9FE6B7008405}">
            <xm:f>Input!$B62="Percentage"</xm:f>
            <x14:dxf>
              <numFmt numFmtId="166" formatCode="0.000%"/>
            </x14:dxf>
          </x14:cfRule>
          <xm:sqref>AT73:AT85 B73:B85 F73:F85 J73:J85 N73:N85 R73:R85 V73:V85 Z73:Z85 AD73:AD85 AH73:AH85 AL73:AL85 AP73:AP85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Input!$A$28:$A$42</xm:f>
          </x14:formula1>
          <xm:sqref>B6 B54</xm:sqref>
        </x14:dataValidation>
        <x14:dataValidation type="list" allowBlank="1" showInputMessage="1" showErrorMessage="1">
          <x14:formula1>
            <xm:f>Input!$A$86:$A$92</xm:f>
          </x14:formula1>
          <xm:sqref>B59:B60 B11:B12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zoomScale="115" zoomScaleNormal="115" workbookViewId="0">
      <pane xSplit="1" topLeftCell="B1" activePane="topRight" state="frozen"/>
      <selection activeCell="B6" sqref="B6"/>
      <selection pane="topRight" activeCell="B19" sqref="B19"/>
    </sheetView>
  </sheetViews>
  <sheetFormatPr defaultRowHeight="14.4" x14ac:dyDescent="0.55000000000000004"/>
  <cols>
    <col min="1" max="1" width="30.41796875" customWidth="1"/>
    <col min="2" max="2" width="11.15625" customWidth="1"/>
    <col min="3" max="3" width="14.83984375" bestFit="1" customWidth="1"/>
    <col min="4" max="4" width="10.15625" bestFit="1" customWidth="1"/>
    <col min="5" max="5" width="0.83984375" customWidth="1"/>
  </cols>
  <sheetData>
    <row r="1" spans="1:4" x14ac:dyDescent="0.55000000000000004">
      <c r="A1" s="1" t="s">
        <v>0</v>
      </c>
    </row>
    <row r="2" spans="1:4" x14ac:dyDescent="0.55000000000000004">
      <c r="A2" s="1" t="s">
        <v>1</v>
      </c>
    </row>
    <row r="3" spans="1:4" x14ac:dyDescent="0.55000000000000004">
      <c r="A3" s="1" t="str">
        <f>Input!A86</f>
        <v>San Jose Water Company</v>
      </c>
    </row>
    <row r="4" spans="1:4" ht="14.7" thickBot="1" x14ac:dyDescent="0.6">
      <c r="A4" s="1"/>
    </row>
    <row r="5" spans="1:4" x14ac:dyDescent="0.55000000000000004">
      <c r="A5" s="11" t="s">
        <v>83</v>
      </c>
      <c r="B5" s="12">
        <f>YEAR(B13)</f>
        <v>2022</v>
      </c>
    </row>
    <row r="6" spans="1:4" x14ac:dyDescent="0.55000000000000004">
      <c r="A6" s="13" t="s">
        <v>6</v>
      </c>
      <c r="B6" s="57" t="s">
        <v>14</v>
      </c>
      <c r="C6" t="s">
        <v>37</v>
      </c>
    </row>
    <row r="7" spans="1:4" x14ac:dyDescent="0.55000000000000004">
      <c r="A7" s="13" t="s">
        <v>41</v>
      </c>
      <c r="B7" s="14">
        <v>6</v>
      </c>
    </row>
    <row r="8" spans="1:4" x14ac:dyDescent="0.55000000000000004">
      <c r="A8" s="13" t="s">
        <v>8</v>
      </c>
      <c r="B8" s="14" t="s">
        <v>24</v>
      </c>
    </row>
    <row r="9" spans="1:4" x14ac:dyDescent="0.55000000000000004">
      <c r="A9" s="13" t="s">
        <v>89</v>
      </c>
      <c r="B9" s="14" t="s">
        <v>27</v>
      </c>
    </row>
    <row r="10" spans="1:4" x14ac:dyDescent="0.55000000000000004">
      <c r="A10" s="13" t="s">
        <v>51</v>
      </c>
      <c r="B10" s="14" t="str">
        <f>VLOOKUP(B11,Input!$A$86:$B$92,2,FALSE)</f>
        <v>San Jose Water Company</v>
      </c>
    </row>
    <row r="11" spans="1:4" ht="14.7" thickBot="1" x14ac:dyDescent="0.6">
      <c r="A11" s="15" t="s">
        <v>28</v>
      </c>
      <c r="B11" s="35" t="str">
        <f>'Residential Bill_Current_avg'!B11</f>
        <v>San Jose Water Company</v>
      </c>
    </row>
    <row r="12" spans="1:4" ht="14.7" thickBot="1" x14ac:dyDescent="0.6">
      <c r="A12" s="34"/>
      <c r="B12" s="24"/>
    </row>
    <row r="13" spans="1:4" ht="14.7" thickBot="1" x14ac:dyDescent="0.6">
      <c r="A13" s="1"/>
      <c r="B13" s="209" t="str">
        <f>Input!B13</f>
        <v>January 2022</v>
      </c>
      <c r="C13" s="210"/>
      <c r="D13" s="211"/>
    </row>
    <row r="14" spans="1:4" x14ac:dyDescent="0.55000000000000004">
      <c r="A14" s="1" t="s">
        <v>5</v>
      </c>
      <c r="B14" s="16"/>
      <c r="C14" s="17"/>
      <c r="D14" s="18">
        <f>INDEX(Input!$B$28:$AL$42,MATCH('Residential Bill_Current6 units'!$B$6,Input!$A$28:$A$42,0),MATCH('Residential Bill_Current6 units'!B$13,Input!$B$27:$AL$27,0))</f>
        <v>41.69</v>
      </c>
    </row>
    <row r="15" spans="1:4" x14ac:dyDescent="0.55000000000000004">
      <c r="B15" s="16"/>
      <c r="C15" s="17"/>
      <c r="D15" s="19"/>
    </row>
    <row r="16" spans="1:4" x14ac:dyDescent="0.55000000000000004">
      <c r="A16" s="1" t="s">
        <v>33</v>
      </c>
      <c r="B16" s="20" t="s">
        <v>29</v>
      </c>
      <c r="C16" s="21" t="s">
        <v>7</v>
      </c>
      <c r="D16" s="22" t="s">
        <v>30</v>
      </c>
    </row>
    <row r="17" spans="1:4" x14ac:dyDescent="0.55000000000000004">
      <c r="A17" t="str">
        <f>Input!A21</f>
        <v>Tier 1</v>
      </c>
      <c r="B17" s="23">
        <f>INDEX(Input!$B$21:$AL$25,MATCH('Residential Bill_Current6 units'!$A17,Input!$A$21:$A$25,0),MATCH('Residential Bill_Current6 units'!B$13,Input!$B$20:$AL$20,0))</f>
        <v>3.7563</v>
      </c>
      <c r="C17" s="24">
        <f>IF($B$7&gt;Input!F108,Input!F108,$B$7)</f>
        <v>3</v>
      </c>
      <c r="D17" s="25">
        <f>ROUND(IFERROR(B17*C17," "),2)</f>
        <v>11.27</v>
      </c>
    </row>
    <row r="18" spans="1:4" x14ac:dyDescent="0.55000000000000004">
      <c r="A18" t="str">
        <f>Input!A22</f>
        <v>Tier 2</v>
      </c>
      <c r="B18" s="23">
        <f>INDEX(Input!$B$21:$AL$25,MATCH('Residential Bill_Current6 units'!$A18,Input!$A$21:$A$25,0),MATCH('Residential Bill_Current6 units'!B$13,Input!$B$20:$AL$20,0))</f>
        <v>5.4452999999999996</v>
      </c>
      <c r="C18" s="24">
        <f>IF(($B$7-C17)&gt;Input!F109,Input!F109,($B$7-C17))</f>
        <v>3</v>
      </c>
      <c r="D18" s="25">
        <f>ROUND(IFERROR(B18*C18," "),2)</f>
        <v>16.34</v>
      </c>
    </row>
    <row r="19" spans="1:4" x14ac:dyDescent="0.55000000000000004">
      <c r="A19" t="str">
        <f>Input!A23</f>
        <v>Tier 3</v>
      </c>
      <c r="B19" s="23">
        <f>INDEX(Input!$B$21:$AL$25,MATCH('Residential Bill_Current6 units'!$A19,Input!$A$21:$A$25,0),MATCH('Residential Bill_Current6 units'!B$13,Input!$B$20:$AL$20,0))</f>
        <v>7.1337999999999999</v>
      </c>
      <c r="C19" s="24">
        <f>IF(OR(Input!F106="Tier 4",Input!F106="Tier 5"),IF(($B$7-C17-C18)&gt;Input!F110,Input!F110,($B$7-C17-C18)),($B$7-C17-C18))</f>
        <v>0</v>
      </c>
      <c r="D19" s="25">
        <f>ROUND(IFERROR(B19*C19," "),2)</f>
        <v>0</v>
      </c>
    </row>
    <row r="20" spans="1:4" ht="14.5" hidden="1" customHeight="1" x14ac:dyDescent="0.55000000000000004">
      <c r="A20" t="str">
        <f>Input!A24</f>
        <v>Tier 4</v>
      </c>
      <c r="B20" s="23">
        <f>INDEX(Input!$B$21:$AL$25,MATCH('Residential Bill_Current6 units'!$A20,Input!$A$21:$A$25,0),MATCH('Residential Bill_Current6 units'!B$13,Input!$B$20:$AL$20,0))</f>
        <v>0</v>
      </c>
      <c r="C20" s="24" t="str">
        <f>IF(Input!F106="Tier 4",($B$7-C17-C18-C19),IF(Input!F106="Tier 5",IF(($B$7-C17-C18-C19)&gt;Input!F111,Input!F111,($B$7-C17-C18-C19))," "))</f>
        <v xml:space="preserve"> </v>
      </c>
      <c r="D20" s="25" t="str">
        <f t="shared" ref="D20:D21" si="0">IFERROR(B20*C20," ")</f>
        <v xml:space="preserve"> </v>
      </c>
    </row>
    <row r="21" spans="1:4" ht="14.5" hidden="1" customHeight="1" x14ac:dyDescent="0.55000000000000004">
      <c r="A21" t="str">
        <f>Input!A25</f>
        <v>Tier 5</v>
      </c>
      <c r="B21" s="23">
        <f>INDEX(Input!$B$21:$AL$25,MATCH('Residential Bill_Current6 units'!$A21,Input!$A$21:$A$25,0),MATCH('Residential Bill_Current6 units'!B$13,Input!$B$20:$AL$20,0))</f>
        <v>0</v>
      </c>
      <c r="C21" s="24" t="str">
        <f>IF(Input!F106="Tier 5",($B$7-C17-C18-C19-C20)," ")</f>
        <v xml:space="preserve"> </v>
      </c>
      <c r="D21" s="25" t="str">
        <f t="shared" si="0"/>
        <v xml:space="preserve"> </v>
      </c>
    </row>
    <row r="22" spans="1:4" x14ac:dyDescent="0.55000000000000004">
      <c r="A22" t="s">
        <v>39</v>
      </c>
      <c r="B22" s="16"/>
      <c r="C22" s="24">
        <f>SUM(C17:C21)</f>
        <v>6</v>
      </c>
      <c r="D22" s="26">
        <f>SUM(D17:D21)+D14</f>
        <v>69.3</v>
      </c>
    </row>
    <row r="23" spans="1:4" x14ac:dyDescent="0.55000000000000004">
      <c r="B23" s="16"/>
      <c r="C23" s="17"/>
      <c r="D23" s="19"/>
    </row>
    <row r="24" spans="1:4" x14ac:dyDescent="0.55000000000000004">
      <c r="A24" s="1" t="s">
        <v>34</v>
      </c>
      <c r="B24" s="20" t="s">
        <v>29</v>
      </c>
      <c r="C24" s="21" t="s">
        <v>44</v>
      </c>
      <c r="D24" s="22" t="s">
        <v>30</v>
      </c>
    </row>
    <row r="25" spans="1:4" x14ac:dyDescent="0.55000000000000004">
      <c r="A25" t="str">
        <f>IF($B$9="No",Input!A46,"CAP Discount")</f>
        <v>SRF 1</v>
      </c>
      <c r="B25" s="173">
        <f>INDEX(Input!$C$46:$AM$58,MATCH($A25,Input!$A$46:$A$58,0),MATCH(B$13,Input!$C$45:$AM$45,0))</f>
        <v>0.04</v>
      </c>
      <c r="C25" s="31" t="str">
        <f>IF(VLOOKUP($A25,Input!$A$46:$B$58,2,FALSE)="Percentage",D$22,IF(VLOOKUP($A25,Input!$A$46:$B$58,2,FALSE)="Fixed","Fixed",(C$22)))</f>
        <v>Fixed</v>
      </c>
      <c r="D25" s="25">
        <f t="shared" ref="D25:D37" si="1">ROUND(IF(C25="Fixed",B25,(B25*C25)),2)</f>
        <v>0.04</v>
      </c>
    </row>
    <row r="26" spans="1:4" x14ac:dyDescent="0.55000000000000004">
      <c r="A26" t="str">
        <f>Input!A47</f>
        <v>SRF 2</v>
      </c>
      <c r="B26" s="173">
        <f>INDEX(Input!$C$46:$AM$58,MATCH($A26,Input!$A$46:$A$58,0),MATCH(B$13,Input!$C$45:$AM$45,0))</f>
        <v>0.02</v>
      </c>
      <c r="C26" s="31" t="str">
        <f>IF(VLOOKUP($A26,Input!$A$46:$B$58,2,FALSE)="Percentage",D$22,IF(VLOOKUP($A26,Input!$A$46:$B$58,2,FALSE)="Fixed","Fixed",(C$22)))</f>
        <v>Fixed</v>
      </c>
      <c r="D26" s="25">
        <f t="shared" si="1"/>
        <v>0.02</v>
      </c>
    </row>
    <row r="27" spans="1:4" x14ac:dyDescent="0.55000000000000004">
      <c r="A27" t="str">
        <f>Input!A48</f>
        <v>WRAP</v>
      </c>
      <c r="B27" s="173">
        <f>INDEX(Input!$C$46:$AM$58,MATCH($A27,Input!$A$46:$A$58,0),MATCH(B$13,Input!$C$45:$AM$45,0))</f>
        <v>1.45</v>
      </c>
      <c r="C27" s="31" t="str">
        <f>IF(VLOOKUP($A27,Input!$A$46:$B$58,2,FALSE)="Percentage",D$22,IF(VLOOKUP($A27,Input!$A$46:$B$58,2,FALSE)="Fixed","Fixed",(C$22)))</f>
        <v>Fixed</v>
      </c>
      <c r="D27" s="25">
        <f t="shared" si="1"/>
        <v>1.45</v>
      </c>
    </row>
    <row r="28" spans="1:4" x14ac:dyDescent="0.55000000000000004">
      <c r="A28" t="str">
        <f>Input!A49</f>
        <v>PRVMA</v>
      </c>
      <c r="B28" s="173">
        <f>INDEX(Input!$C$46:$AM$58,MATCH($A28,Input!$A$46:$A$58,0),MATCH(B$13,Input!$C$45:$AM$45,0))</f>
        <v>8.8400000000000006E-3</v>
      </c>
      <c r="C28" s="31">
        <f>IF(VLOOKUP($A28,Input!$A$46:$B$58,2,FALSE)="Percentage",D$22,IF(VLOOKUP($A28,Input!$A$46:$B$58,2,FALSE)="Fixed","Fixed",(C$22)))</f>
        <v>6</v>
      </c>
      <c r="D28" s="25">
        <f t="shared" si="1"/>
        <v>0.05</v>
      </c>
    </row>
    <row r="29" spans="1:4" x14ac:dyDescent="0.55000000000000004">
      <c r="A29" t="str">
        <f>Input!A50</f>
        <v>2022 Surcredit</v>
      </c>
      <c r="B29" s="173">
        <f>INDEX(Input!$C$46:$AM$58,MATCH($A29,Input!$A$46:$A$58,0),MATCH(B$13,Input!$C$45:$AM$45,0))</f>
        <v>0</v>
      </c>
      <c r="C29" s="31" t="str">
        <f>IF(VLOOKUP($A29,Input!$A$46:$B$58,2,FALSE)="Percentage",D$22,IF(VLOOKUP($A29,Input!$A$46:$B$58,2,FALSE)="Fixed","Fixed",(C$22)))</f>
        <v>Fixed</v>
      </c>
      <c r="D29" s="25">
        <f t="shared" si="1"/>
        <v>0</v>
      </c>
    </row>
    <row r="30" spans="1:4" x14ac:dyDescent="0.55000000000000004">
      <c r="A30" t="str">
        <f>Input!A51</f>
        <v>Interim Memo Account Surcharge</v>
      </c>
      <c r="B30" s="173">
        <f>INDEX(Input!$C$46:$AM$58,MATCH($A30,Input!$A$46:$A$58,0),MATCH(B$13,Input!$C$45:$AM$45,0))</f>
        <v>0</v>
      </c>
      <c r="C30" s="31">
        <f>IF(VLOOKUP($A30,Input!$A$46:$B$58,2,FALSE)="Percentage",D$22,IF(VLOOKUP($A30,Input!$A$46:$B$58,2,FALSE)="Fixed","Fixed",(C$22)))</f>
        <v>6</v>
      </c>
      <c r="D30" s="25">
        <f t="shared" si="1"/>
        <v>0</v>
      </c>
    </row>
    <row r="31" spans="1:4" x14ac:dyDescent="0.55000000000000004">
      <c r="A31">
        <f>Input!A52</f>
        <v>0</v>
      </c>
      <c r="B31" s="173">
        <f>INDEX(Input!$C$46:$AM$58,MATCH($A31,Input!$A$46:$A$58,0),MATCH(B$13,Input!$C$45:$AM$45,0))</f>
        <v>0</v>
      </c>
      <c r="C31" s="31">
        <f>IF(VLOOKUP($A31,Input!$A$46:$B$58,2,FALSE)="Percentage",D$22,IF(VLOOKUP($A31,Input!$A$46:$B$58,2,FALSE)="Fixed","Fixed",(C$22)))</f>
        <v>6</v>
      </c>
      <c r="D31" s="25">
        <f t="shared" si="1"/>
        <v>0</v>
      </c>
    </row>
    <row r="32" spans="1:4" x14ac:dyDescent="0.55000000000000004">
      <c r="A32">
        <f>Input!A53</f>
        <v>0</v>
      </c>
      <c r="B32" s="173">
        <f>INDEX(Input!$C$46:$AM$58,MATCH($A32,Input!$A$46:$A$58,0),MATCH(B$13,Input!$C$45:$AM$45,0))</f>
        <v>0</v>
      </c>
      <c r="C32" s="31">
        <f>IF(VLOOKUP($A32,Input!$A$46:$B$58,2,FALSE)="Percentage",D$22,IF(VLOOKUP($A32,Input!$A$46:$B$58,2,FALSE)="Fixed","Fixed",(C$22)))</f>
        <v>6</v>
      </c>
      <c r="D32" s="25">
        <f t="shared" si="1"/>
        <v>0</v>
      </c>
    </row>
    <row r="33" spans="1:4" x14ac:dyDescent="0.55000000000000004">
      <c r="A33">
        <f>Input!A54</f>
        <v>0</v>
      </c>
      <c r="B33" s="173">
        <f>INDEX(Input!$C$46:$AM$58,MATCH($A33,Input!$A$46:$A$58,0),MATCH(B$13,Input!$C$45:$AM$45,0))</f>
        <v>0</v>
      </c>
      <c r="C33" s="31">
        <f>IF(VLOOKUP($A33,Input!$A$46:$B$58,2,FALSE)="Percentage",D$22,IF(VLOOKUP($A33,Input!$A$46:$B$58,2,FALSE)="Fixed","Fixed",(C$22)))</f>
        <v>6</v>
      </c>
      <c r="D33" s="25">
        <f t="shared" si="1"/>
        <v>0</v>
      </c>
    </row>
    <row r="34" spans="1:4" x14ac:dyDescent="0.55000000000000004">
      <c r="A34">
        <f>Input!A55</f>
        <v>0</v>
      </c>
      <c r="B34" s="173">
        <f>INDEX(Input!$C$46:$AM$58,MATCH($A34,Input!$A$46:$A$58,0),MATCH(B$13,Input!$C$45:$AM$45,0))</f>
        <v>0</v>
      </c>
      <c r="C34" s="31">
        <f>IF(VLOOKUP($A34,Input!$A$46:$B$58,2,FALSE)="Percentage",D$22,IF(VLOOKUP($A34,Input!$A$46:$B$58,2,FALSE)="Fixed","Fixed",(C$22)))</f>
        <v>6</v>
      </c>
      <c r="D34" s="25">
        <f t="shared" si="1"/>
        <v>0</v>
      </c>
    </row>
    <row r="35" spans="1:4" x14ac:dyDescent="0.55000000000000004">
      <c r="A35">
        <f>Input!A56</f>
        <v>0</v>
      </c>
      <c r="B35" s="173">
        <f>INDEX(Input!$C$46:$AM$58,MATCH($A35,Input!$A$46:$A$58,0),MATCH(B$13,Input!$C$45:$AM$45,0))</f>
        <v>0</v>
      </c>
      <c r="C35" s="31">
        <f>IF(VLOOKUP($A35,Input!$A$46:$B$58,2,FALSE)="Percentage",D$22,IF(VLOOKUP($A35,Input!$A$46:$B$58,2,FALSE)="Fixed","Fixed",(C$22)))</f>
        <v>6</v>
      </c>
      <c r="D35" s="25">
        <f t="shared" si="1"/>
        <v>0</v>
      </c>
    </row>
    <row r="36" spans="1:4" x14ac:dyDescent="0.55000000000000004">
      <c r="A36">
        <f>Input!A57</f>
        <v>0</v>
      </c>
      <c r="B36" s="173">
        <f>INDEX(Input!$C$46:$AM$58,MATCH($A36,Input!$A$46:$A$58,0),MATCH(B$13,Input!$C$45:$AM$45,0))</f>
        <v>0</v>
      </c>
      <c r="C36" s="31">
        <f>IF(VLOOKUP($A36,Input!$A$46:$B$58,2,FALSE)="Percentage",D$22,IF(VLOOKUP($A36,Input!$A$46:$B$58,2,FALSE)="Fixed","Fixed",(C$22)))</f>
        <v>6</v>
      </c>
      <c r="D36" s="25">
        <f t="shared" si="1"/>
        <v>0</v>
      </c>
    </row>
    <row r="37" spans="1:4" x14ac:dyDescent="0.55000000000000004">
      <c r="A37">
        <f>Input!A58</f>
        <v>0</v>
      </c>
      <c r="B37" s="173">
        <f>INDEX(Input!$C$46:$AM$58,MATCH($A37,Input!$A$46:$A$58,0),MATCH(B$13,Input!$C$45:$AM$45,0))</f>
        <v>0</v>
      </c>
      <c r="C37" s="31">
        <f>IF(VLOOKUP($A37,Input!$A$46:$B$58,2,FALSE)="Percentage",D$22,IF(VLOOKUP($A37,Input!$A$46:$B$58,2,FALSE)="Fixed","Fixed",(C$22)))</f>
        <v>6</v>
      </c>
      <c r="D37" s="25">
        <f t="shared" si="1"/>
        <v>0</v>
      </c>
    </row>
    <row r="38" spans="1:4" x14ac:dyDescent="0.55000000000000004">
      <c r="A38" t="s">
        <v>39</v>
      </c>
      <c r="B38" s="16"/>
      <c r="C38" s="17"/>
      <c r="D38" s="26">
        <f>SUM(D25:D36)</f>
        <v>1.56</v>
      </c>
    </row>
    <row r="39" spans="1:4" x14ac:dyDescent="0.55000000000000004">
      <c r="B39" s="16"/>
      <c r="C39" s="17"/>
      <c r="D39" s="19"/>
    </row>
    <row r="40" spans="1:4" x14ac:dyDescent="0.55000000000000004">
      <c r="A40" s="1" t="s">
        <v>35</v>
      </c>
      <c r="B40" s="20" t="s">
        <v>29</v>
      </c>
      <c r="C40" s="21" t="s">
        <v>45</v>
      </c>
      <c r="D40" s="22" t="s">
        <v>30</v>
      </c>
    </row>
    <row r="41" spans="1:4" x14ac:dyDescent="0.55000000000000004">
      <c r="A41" t="str">
        <f>+Input!A77</f>
        <v>CPUC Fee</v>
      </c>
      <c r="B41" s="29">
        <f>INDEX(Input!$C$77:$AL$82,MATCH('Residential Bills_Yr 1_avg'!$A$41,Input!$A$77:$A$82,0),MATCH('Residential Bills_Yr 1_avg'!B13:D13,Input!$C$76:$AL$76,0))</f>
        <v>1.43E-2</v>
      </c>
      <c r="C41" s="30">
        <f>D22+D38</f>
        <v>70.86</v>
      </c>
      <c r="D41" s="25">
        <f>ROUND(B41*C41,2)</f>
        <v>1.01</v>
      </c>
    </row>
    <row r="42" spans="1:4" ht="14.5" customHeight="1" x14ac:dyDescent="0.55000000000000004">
      <c r="A42" t="str">
        <f>+Input!A78</f>
        <v>CSJ UTT</v>
      </c>
      <c r="B42" s="29">
        <f>INDEX(Input!$C$77:$AL$82,MATCH('Residential Bills_Yr 1_avg'!$A$42,Input!$A$77:$A$82,0),MATCH('Residential Bills_Yr 1_avg'!B13,Input!$C$76:$AL$76,0))</f>
        <v>0.05</v>
      </c>
      <c r="C42" s="30">
        <f>D22+D38+D41</f>
        <v>71.87</v>
      </c>
      <c r="D42" s="25">
        <f>ROUND(B42*C42,2)</f>
        <v>3.59</v>
      </c>
    </row>
    <row r="43" spans="1:4" ht="14.5" customHeight="1" x14ac:dyDescent="0.55000000000000004">
      <c r="A43" t="str">
        <f>+Input!A79</f>
        <v>Reserved</v>
      </c>
      <c r="B43" s="16"/>
      <c r="C43" s="17"/>
      <c r="D43" s="19"/>
    </row>
    <row r="44" spans="1:4" ht="14.5" customHeight="1" x14ac:dyDescent="0.55000000000000004">
      <c r="A44" t="str">
        <f>+Input!A80</f>
        <v>Reserved</v>
      </c>
      <c r="B44" s="16"/>
      <c r="C44" s="17"/>
      <c r="D44" s="19"/>
    </row>
    <row r="45" spans="1:4" ht="14.5" customHeight="1" x14ac:dyDescent="0.55000000000000004">
      <c r="A45" t="str">
        <f>+Input!A81</f>
        <v>Reserved</v>
      </c>
      <c r="B45" s="16"/>
      <c r="C45" s="17"/>
      <c r="D45" s="19"/>
    </row>
    <row r="46" spans="1:4" ht="14.5" customHeight="1" x14ac:dyDescent="0.55000000000000004">
      <c r="A46" t="str">
        <f>+Input!A82</f>
        <v>Reserved</v>
      </c>
      <c r="B46" s="16"/>
      <c r="C46" s="17"/>
      <c r="D46" s="19"/>
    </row>
    <row r="47" spans="1:4" x14ac:dyDescent="0.55000000000000004">
      <c r="A47" t="s">
        <v>39</v>
      </c>
      <c r="B47" s="16"/>
      <c r="C47" s="17"/>
      <c r="D47" s="19"/>
    </row>
    <row r="48" spans="1:4" x14ac:dyDescent="0.55000000000000004">
      <c r="B48" s="16"/>
      <c r="C48" s="17"/>
      <c r="D48" s="19"/>
    </row>
    <row r="49" spans="1:4" ht="14.7" thickBot="1" x14ac:dyDescent="0.6">
      <c r="A49" t="s">
        <v>40</v>
      </c>
      <c r="B49" s="27"/>
      <c r="C49" s="28"/>
      <c r="D49" s="32">
        <f>D22+D38+D41+D42</f>
        <v>75.460000000000008</v>
      </c>
    </row>
    <row r="51" spans="1:4" x14ac:dyDescent="0.55000000000000004">
      <c r="A51" t="s">
        <v>81</v>
      </c>
    </row>
    <row r="52" spans="1:4" ht="14.7" thickBot="1" x14ac:dyDescent="0.6"/>
    <row r="53" spans="1:4" x14ac:dyDescent="0.55000000000000004">
      <c r="A53" s="11" t="s">
        <v>83</v>
      </c>
      <c r="B53" s="12">
        <f>YEAR(B61)</f>
        <v>2022</v>
      </c>
    </row>
    <row r="54" spans="1:4" x14ac:dyDescent="0.55000000000000004">
      <c r="A54" s="13" t="s">
        <v>6</v>
      </c>
      <c r="B54" s="14" t="str">
        <f>B6</f>
        <v>3/4"</v>
      </c>
    </row>
    <row r="55" spans="1:4" x14ac:dyDescent="0.55000000000000004">
      <c r="A55" s="13" t="s">
        <v>41</v>
      </c>
      <c r="B55" s="14">
        <f>B7</f>
        <v>6</v>
      </c>
    </row>
    <row r="56" spans="1:4" x14ac:dyDescent="0.55000000000000004">
      <c r="A56" s="13" t="s">
        <v>8</v>
      </c>
      <c r="B56" s="14" t="str">
        <f>B8</f>
        <v>Residential</v>
      </c>
    </row>
    <row r="57" spans="1:4" x14ac:dyDescent="0.55000000000000004">
      <c r="A57" s="13" t="s">
        <v>89</v>
      </c>
      <c r="B57" s="14" t="s">
        <v>26</v>
      </c>
    </row>
    <row r="58" spans="1:4" x14ac:dyDescent="0.55000000000000004">
      <c r="A58" s="13" t="s">
        <v>51</v>
      </c>
      <c r="B58" s="14" t="str">
        <f>B10</f>
        <v>San Jose Water Company</v>
      </c>
    </row>
    <row r="59" spans="1:4" ht="14.7" thickBot="1" x14ac:dyDescent="0.6">
      <c r="A59" s="15" t="s">
        <v>28</v>
      </c>
      <c r="B59" s="35" t="str">
        <f>B11</f>
        <v>San Jose Water Company</v>
      </c>
    </row>
    <row r="60" spans="1:4" ht="14.7" thickBot="1" x14ac:dyDescent="0.6">
      <c r="A60" s="34"/>
      <c r="B60" s="24"/>
    </row>
    <row r="61" spans="1:4" ht="14.7" thickBot="1" x14ac:dyDescent="0.6">
      <c r="A61" s="1"/>
      <c r="B61" s="209" t="str">
        <f>Input!B13</f>
        <v>January 2022</v>
      </c>
      <c r="C61" s="210"/>
      <c r="D61" s="211"/>
    </row>
    <row r="62" spans="1:4" x14ac:dyDescent="0.55000000000000004">
      <c r="A62" s="1" t="s">
        <v>5</v>
      </c>
      <c r="B62" s="16"/>
      <c r="C62" s="17"/>
      <c r="D62" s="18">
        <f>INDEX(Input!$B$28:$AL$42,MATCH('Residential Bill_Current6 units'!$B$54,Input!$A$28:$A$42,0),MATCH('Residential Bill_Current6 units'!B$61,Input!$B$27:$AL$27,0))</f>
        <v>41.69</v>
      </c>
    </row>
    <row r="63" spans="1:4" x14ac:dyDescent="0.55000000000000004">
      <c r="B63" s="16"/>
      <c r="C63" s="17"/>
      <c r="D63" s="19"/>
    </row>
    <row r="64" spans="1:4" ht="16.5" customHeight="1" x14ac:dyDescent="0.55000000000000004">
      <c r="A64" s="1" t="s">
        <v>33</v>
      </c>
      <c r="B64" s="20" t="s">
        <v>29</v>
      </c>
      <c r="C64" s="21" t="s">
        <v>7</v>
      </c>
      <c r="D64" s="22" t="s">
        <v>30</v>
      </c>
    </row>
    <row r="65" spans="1:4" x14ac:dyDescent="0.55000000000000004">
      <c r="A65" t="str">
        <f>A17</f>
        <v>Tier 1</v>
      </c>
      <c r="B65" s="23">
        <f>INDEX(Input!$B$21:$AL$25,MATCH('Residential Bill_Current6 units'!$A65,Input!$A$21:$A$25,0),MATCH('Residential Bill_Current6 units'!B$61,Input!$B$20:$AL$20,0))</f>
        <v>3.7563</v>
      </c>
      <c r="C65" s="24">
        <f>IF($B$55&gt;Input!F108,Input!F108,$B$55)</f>
        <v>3</v>
      </c>
      <c r="D65" s="25">
        <f>ROUND(IFERROR(B65*C65," "),2)</f>
        <v>11.27</v>
      </c>
    </row>
    <row r="66" spans="1:4" x14ac:dyDescent="0.55000000000000004">
      <c r="A66" t="str">
        <f>A18</f>
        <v>Tier 2</v>
      </c>
      <c r="B66" s="23">
        <f>INDEX(Input!$B$21:$AL$25,MATCH('Residential Bill_Current6 units'!$A66,Input!$A$21:$A$25,0),MATCH('Residential Bill_Current6 units'!B$61,Input!$B$20:$AL$20,0))</f>
        <v>5.4452999999999996</v>
      </c>
      <c r="C66" s="24">
        <f>IF(($B$55-C65)&gt;Input!F109,Input!F109,($B$55-C65))</f>
        <v>3</v>
      </c>
      <c r="D66" s="25">
        <f>ROUND(IFERROR(B66*C66," "),2)</f>
        <v>16.34</v>
      </c>
    </row>
    <row r="67" spans="1:4" x14ac:dyDescent="0.55000000000000004">
      <c r="A67" t="str">
        <f>A19</f>
        <v>Tier 3</v>
      </c>
      <c r="B67" s="23">
        <f>INDEX(Input!$B$21:$AL$25,MATCH('Residential Bill_Current6 units'!$A67,Input!$A$21:$A$25,0),MATCH('Residential Bill_Current6 units'!B$61,Input!$B$20:$AL$20,0))</f>
        <v>7.1337999999999999</v>
      </c>
      <c r="C67" s="24">
        <f>IF(OR(Input!F128="Tier 4",Input!F128="Tier 5"),IF(($B$55-C65-C66)&gt;Input!F110,Input!F110,($B$55-C65-C66)),($B$55-C65-C66))</f>
        <v>0</v>
      </c>
      <c r="D67" s="25">
        <f>ROUND(IFERROR(B67*C67," "),2)</f>
        <v>0</v>
      </c>
    </row>
    <row r="68" spans="1:4" ht="14.5" hidden="1" customHeight="1" x14ac:dyDescent="0.55000000000000004">
      <c r="A68" t="str">
        <f>A20</f>
        <v>Tier 4</v>
      </c>
      <c r="B68" s="23">
        <f>INDEX(Input!$B$21:$AL$25,MATCH('Residential Bill_Current6 units'!$A68,Input!$A$21:$A$25,0),MATCH('Residential Bill_Current6 units'!B$61,Input!$B$20:$AL$20,0))</f>
        <v>0</v>
      </c>
      <c r="C68" s="24" t="str">
        <f>IF(Input!F128="Tier 4",($B$55-C65-C66-C67),IF(Input!F128="Tier 5",IF(($B$55-C65-C66-C67)&gt;Input!F133,Input!F133,($B$55-C65-C66-C67))," "))</f>
        <v xml:space="preserve"> </v>
      </c>
      <c r="D68" s="25" t="str">
        <f t="shared" ref="D68:D69" si="2">IFERROR(B68*C68," ")</f>
        <v xml:space="preserve"> </v>
      </c>
    </row>
    <row r="69" spans="1:4" ht="14.5" hidden="1" customHeight="1" x14ac:dyDescent="0.55000000000000004">
      <c r="A69" t="str">
        <f>A21</f>
        <v>Tier 5</v>
      </c>
      <c r="B69" s="23">
        <f>INDEX(Input!$B$21:$AL$25,MATCH('Residential Bill_Current6 units'!$A69,Input!$A$21:$A$25,0),MATCH('Residential Bill_Current6 units'!B$61,Input!$B$20:$AL$20,0))</f>
        <v>0</v>
      </c>
      <c r="C69" s="24" t="str">
        <f>IF(Input!F128="Tier 5",($B$55-C65-C66-C67-C68)," ")</f>
        <v xml:space="preserve"> </v>
      </c>
      <c r="D69" s="25" t="str">
        <f t="shared" si="2"/>
        <v xml:space="preserve"> </v>
      </c>
    </row>
    <row r="70" spans="1:4" x14ac:dyDescent="0.55000000000000004">
      <c r="A70" t="s">
        <v>39</v>
      </c>
      <c r="B70" s="16"/>
      <c r="C70" s="24">
        <f>SUM(C65:C69)</f>
        <v>6</v>
      </c>
      <c r="D70" s="26">
        <f>SUM(D65:D69)+D62</f>
        <v>69.3</v>
      </c>
    </row>
    <row r="71" spans="1:4" x14ac:dyDescent="0.55000000000000004">
      <c r="B71" s="16"/>
      <c r="C71" s="17"/>
      <c r="D71" s="19"/>
    </row>
    <row r="72" spans="1:4" x14ac:dyDescent="0.55000000000000004">
      <c r="A72" s="1" t="s">
        <v>34</v>
      </c>
      <c r="B72" s="20" t="s">
        <v>29</v>
      </c>
      <c r="C72" s="21" t="s">
        <v>44</v>
      </c>
      <c r="D72" s="22" t="s">
        <v>30</v>
      </c>
    </row>
    <row r="73" spans="1:4" s="44" customFormat="1" x14ac:dyDescent="0.55000000000000004">
      <c r="A73" s="44" t="str">
        <f t="shared" ref="A73:A85" si="3">A25</f>
        <v>SRF 1</v>
      </c>
      <c r="B73" s="173">
        <f>INDEX(Input!$C$62:$AM$74,MATCH($A73,Input!$A$62:$A$74,0),MATCH(B$61,Input!$C$61:$AM$61,0))</f>
        <v>0.04</v>
      </c>
      <c r="C73" s="31" t="str">
        <f>IF(VLOOKUP($A73,Input!$A$62:$B$74,2,FALSE)="Percentage",D$70,IF(VLOOKUP($A73,Input!$A$62:$B$74,2,FALSE)="Fixed","Fixed",(C$70)))</f>
        <v>Fixed</v>
      </c>
      <c r="D73" s="25">
        <f t="shared" ref="D73:D85" si="4">ROUND(IF(C73="Fixed",B73,(B73*C73)),2)</f>
        <v>0.04</v>
      </c>
    </row>
    <row r="74" spans="1:4" x14ac:dyDescent="0.55000000000000004">
      <c r="A74" t="str">
        <f t="shared" si="3"/>
        <v>SRF 2</v>
      </c>
      <c r="B74" s="173">
        <f>INDEX(Input!$C$62:$AM$74,MATCH($A74,Input!$A$62:$A$74,0),MATCH(B$61,Input!$C$61:$AM$61,0))</f>
        <v>0.02</v>
      </c>
      <c r="C74" s="31" t="str">
        <f>IF(VLOOKUP($A74,Input!$A$62:$B$74,2,FALSE)="Percentage",D$70,IF(VLOOKUP($A74,Input!$A$62:$B$74,2,FALSE)="Fixed","Fixed",(C$70)))</f>
        <v>Fixed</v>
      </c>
      <c r="D74" s="25">
        <f t="shared" si="4"/>
        <v>0.02</v>
      </c>
    </row>
    <row r="75" spans="1:4" x14ac:dyDescent="0.55000000000000004">
      <c r="A75" t="str">
        <f t="shared" si="3"/>
        <v>WRAP</v>
      </c>
      <c r="B75" s="173">
        <f>INDEX(Input!$C$62:$AM$74,MATCH($A75,Input!$A$62:$A$74,0),MATCH(B$61,Input!$C$61:$AM$61,0))</f>
        <v>-0.15</v>
      </c>
      <c r="C75" s="31">
        <f>IF(VLOOKUP($A75,Input!$A$62:$B$74,2,FALSE)="Percentage",D$70,IF(VLOOKUP($A75,Input!$A$62:$B$74,2,FALSE)="Fixed","Fixed",(C$70)))</f>
        <v>69.3</v>
      </c>
      <c r="D75" s="25">
        <f t="shared" si="4"/>
        <v>-10.4</v>
      </c>
    </row>
    <row r="76" spans="1:4" x14ac:dyDescent="0.55000000000000004">
      <c r="A76" t="str">
        <f t="shared" si="3"/>
        <v>PRVMA</v>
      </c>
      <c r="B76" s="173">
        <f>INDEX(Input!$C$62:$AM$74,MATCH($A76,Input!$A$62:$A$74,0),MATCH(B$61,Input!$C$61:$AM$61,0))</f>
        <v>8.8400000000000006E-3</v>
      </c>
      <c r="C76" s="31">
        <f>IF(VLOOKUP($A76,Input!$A$62:$B$74,2,FALSE)="Percentage",D$70,IF(VLOOKUP($A76,Input!$A$62:$B$74,2,FALSE)="Fixed","Fixed",(C$70)))</f>
        <v>6</v>
      </c>
      <c r="D76" s="25">
        <f t="shared" si="4"/>
        <v>0.05</v>
      </c>
    </row>
    <row r="77" spans="1:4" x14ac:dyDescent="0.55000000000000004">
      <c r="A77" t="str">
        <f t="shared" si="3"/>
        <v>2022 Surcredit</v>
      </c>
      <c r="B77" s="173">
        <f>INDEX(Input!$C$62:$AM$74,MATCH($A77,Input!$A$62:$A$74,0),MATCH(B$61,Input!$C$61:$AM$61,0))</f>
        <v>0</v>
      </c>
      <c r="C77" s="31" t="str">
        <f>IF(VLOOKUP($A77,Input!$A$62:$B$74,2,FALSE)="Percentage",D$70,IF(VLOOKUP($A77,Input!$A$62:$B$74,2,FALSE)="Fixed","Fixed",(C$70)))</f>
        <v>Fixed</v>
      </c>
      <c r="D77" s="25">
        <f t="shared" si="4"/>
        <v>0</v>
      </c>
    </row>
    <row r="78" spans="1:4" x14ac:dyDescent="0.55000000000000004">
      <c r="A78" t="str">
        <f t="shared" si="3"/>
        <v>Interim Memo Account Surcharge</v>
      </c>
      <c r="B78" s="173">
        <f>INDEX(Input!$C$62:$AM$74,MATCH($A78,Input!$A$62:$A$74,0),MATCH(B$61,Input!$C$61:$AM$61,0))</f>
        <v>0</v>
      </c>
      <c r="C78" s="31">
        <f>IF(VLOOKUP($A78,Input!$A$62:$B$74,2,FALSE)="Percentage",D$70,IF(VLOOKUP($A78,Input!$A$62:$B$74,2,FALSE)="Fixed","Fixed",(C$70)))</f>
        <v>6</v>
      </c>
      <c r="D78" s="25">
        <f t="shared" si="4"/>
        <v>0</v>
      </c>
    </row>
    <row r="79" spans="1:4" x14ac:dyDescent="0.55000000000000004">
      <c r="A79">
        <f t="shared" si="3"/>
        <v>0</v>
      </c>
      <c r="B79" s="173">
        <f>INDEX(Input!$C$62:$AM$74,MATCH($A79,Input!$A$62:$A$74,0),MATCH(B$61,Input!$C$61:$AM$61,0))</f>
        <v>0</v>
      </c>
      <c r="C79" s="31">
        <f>IF(VLOOKUP($A79,Input!$A$62:$B$74,2,FALSE)="Percentage",D$70,IF(VLOOKUP($A79,Input!$A$62:$B$74,2,FALSE)="Fixed","Fixed",(C$70)))</f>
        <v>6</v>
      </c>
      <c r="D79" s="25">
        <f t="shared" si="4"/>
        <v>0</v>
      </c>
    </row>
    <row r="80" spans="1:4" x14ac:dyDescent="0.55000000000000004">
      <c r="A80">
        <f t="shared" si="3"/>
        <v>0</v>
      </c>
      <c r="B80" s="173">
        <f>INDEX(Input!$C$62:$AM$74,MATCH($A80,Input!$A$62:$A$74,0),MATCH(B$61,Input!$C$61:$AM$61,0))</f>
        <v>0</v>
      </c>
      <c r="C80" s="31">
        <f>IF(VLOOKUP($A80,Input!$A$62:$B$74,2,FALSE)="Percentage",D$70,IF(VLOOKUP($A80,Input!$A$62:$B$74,2,FALSE)="Fixed","Fixed",(C$70)))</f>
        <v>6</v>
      </c>
      <c r="D80" s="25">
        <f t="shared" si="4"/>
        <v>0</v>
      </c>
    </row>
    <row r="81" spans="1:4" x14ac:dyDescent="0.55000000000000004">
      <c r="A81">
        <f t="shared" si="3"/>
        <v>0</v>
      </c>
      <c r="B81" s="173">
        <f>INDEX(Input!$C$62:$AM$74,MATCH($A81,Input!$A$62:$A$74,0),MATCH(B$61,Input!$C$61:$AM$61,0))</f>
        <v>0</v>
      </c>
      <c r="C81" s="31">
        <f>IF(VLOOKUP($A81,Input!$A$62:$B$74,2,FALSE)="Percentage",D$70,IF(VLOOKUP($A81,Input!$A$62:$B$74,2,FALSE)="Fixed","Fixed",(C$70)))</f>
        <v>6</v>
      </c>
      <c r="D81" s="25">
        <f t="shared" si="4"/>
        <v>0</v>
      </c>
    </row>
    <row r="82" spans="1:4" x14ac:dyDescent="0.55000000000000004">
      <c r="A82">
        <f t="shared" si="3"/>
        <v>0</v>
      </c>
      <c r="B82" s="173">
        <f>INDEX(Input!$C$62:$AM$74,MATCH($A82,Input!$A$62:$A$74,0),MATCH(B$61,Input!$C$61:$AM$61,0))</f>
        <v>0</v>
      </c>
      <c r="C82" s="31">
        <f>IF(VLOOKUP($A82,Input!$A$62:$B$74,2,FALSE)="Percentage",D$70,IF(VLOOKUP($A82,Input!$A$62:$B$74,2,FALSE)="Fixed","Fixed",(C$70)))</f>
        <v>6</v>
      </c>
      <c r="D82" s="25">
        <f t="shared" si="4"/>
        <v>0</v>
      </c>
    </row>
    <row r="83" spans="1:4" x14ac:dyDescent="0.55000000000000004">
      <c r="A83">
        <f t="shared" si="3"/>
        <v>0</v>
      </c>
      <c r="B83" s="173">
        <f>INDEX(Input!$C$62:$AM$74,MATCH($A83,Input!$A$62:$A$74,0),MATCH(B$61,Input!$C$61:$AM$61,0))</f>
        <v>0</v>
      </c>
      <c r="C83" s="31">
        <f>IF(VLOOKUP($A83,Input!$A$62:$B$74,2,FALSE)="Percentage",D$70,IF(VLOOKUP($A83,Input!$A$62:$B$74,2,FALSE)="Fixed","Fixed",(C$70)))</f>
        <v>6</v>
      </c>
      <c r="D83" s="25">
        <f t="shared" si="4"/>
        <v>0</v>
      </c>
    </row>
    <row r="84" spans="1:4" x14ac:dyDescent="0.55000000000000004">
      <c r="A84">
        <f t="shared" si="3"/>
        <v>0</v>
      </c>
      <c r="B84" s="173">
        <f>INDEX(Input!$C$62:$AM$74,MATCH($A84,Input!$A$62:$A$74,0),MATCH(B$61,Input!$C$61:$AM$61,0))</f>
        <v>0</v>
      </c>
      <c r="C84" s="31">
        <f>IF(VLOOKUP($A84,Input!$A$62:$B$74,2,FALSE)="Percentage",D$70,IF(VLOOKUP($A84,Input!$A$62:$B$74,2,FALSE)="Fixed","Fixed",(C$70)))</f>
        <v>6</v>
      </c>
      <c r="D84" s="25">
        <f t="shared" si="4"/>
        <v>0</v>
      </c>
    </row>
    <row r="85" spans="1:4" x14ac:dyDescent="0.55000000000000004">
      <c r="A85">
        <f t="shared" si="3"/>
        <v>0</v>
      </c>
      <c r="B85" s="173">
        <f>INDEX(Input!$C$62:$AM$74,MATCH($A85,Input!$A$62:$A$74,0),MATCH(B$61,Input!$C$61:$AM$61,0))</f>
        <v>0</v>
      </c>
      <c r="C85" s="31">
        <f>IF(VLOOKUP($A85,Input!$A$62:$B$74,2,FALSE)="Percentage",D$70,IF(VLOOKUP($A85,Input!$A$62:$B$74,2,FALSE)="Fixed","Fixed",(C$70)))</f>
        <v>6</v>
      </c>
      <c r="D85" s="25">
        <f t="shared" si="4"/>
        <v>0</v>
      </c>
    </row>
    <row r="86" spans="1:4" x14ac:dyDescent="0.55000000000000004">
      <c r="A86" t="s">
        <v>39</v>
      </c>
      <c r="B86" s="16"/>
      <c r="C86" s="17"/>
      <c r="D86" s="26">
        <f>SUM(D73:D84)</f>
        <v>-10.29</v>
      </c>
    </row>
    <row r="87" spans="1:4" x14ac:dyDescent="0.55000000000000004">
      <c r="B87" s="16"/>
      <c r="C87" s="17"/>
      <c r="D87" s="19"/>
    </row>
    <row r="88" spans="1:4" x14ac:dyDescent="0.55000000000000004">
      <c r="A88" s="1" t="s">
        <v>35</v>
      </c>
      <c r="B88" s="20" t="s">
        <v>29</v>
      </c>
      <c r="C88" s="21" t="s">
        <v>45</v>
      </c>
      <c r="D88" s="22" t="s">
        <v>30</v>
      </c>
    </row>
    <row r="89" spans="1:4" x14ac:dyDescent="0.55000000000000004">
      <c r="A89" t="str">
        <f>A41</f>
        <v>CPUC Fee</v>
      </c>
      <c r="B89" s="29">
        <f>INDEX(Input!$C$77:$AL$82,MATCH('Residential Bills_Yr 1_avg'!$A$41,Input!$A$77:$A$82,0),MATCH('Residential Bills_Yr 1_avg'!B61:D61,Input!$C$76:$AL$76,0))</f>
        <v>1.43E-2</v>
      </c>
      <c r="C89" s="30">
        <f>D70+D86</f>
        <v>59.01</v>
      </c>
      <c r="D89" s="25">
        <f>ROUND(B89*C89,2)</f>
        <v>0.84</v>
      </c>
    </row>
    <row r="90" spans="1:4" ht="14.5" customHeight="1" x14ac:dyDescent="0.55000000000000004">
      <c r="A90" t="str">
        <f>+A42</f>
        <v>CSJ UTT</v>
      </c>
      <c r="B90" s="29">
        <f>INDEX(Input!$C$77:$AL$82,MATCH('Residential Bills_Yr 1_avg'!$A$42,Input!$A$77:$A$82,0),MATCH('Residential Bills_Yr 1_avg'!B61,Input!$C$76:$AL$76,0))</f>
        <v>0.05</v>
      </c>
      <c r="C90" s="30">
        <f>D70+D86+D89</f>
        <v>59.85</v>
      </c>
      <c r="D90" s="25">
        <f>ROUND(B90*C90,2)</f>
        <v>2.99</v>
      </c>
    </row>
    <row r="91" spans="1:4" ht="14.5" customHeight="1" x14ac:dyDescent="0.55000000000000004">
      <c r="A91">
        <f>+Input!A123</f>
        <v>0</v>
      </c>
      <c r="B91" s="29"/>
      <c r="C91" s="17"/>
      <c r="D91" s="19"/>
    </row>
    <row r="92" spans="1:4" ht="14.5" customHeight="1" x14ac:dyDescent="0.55000000000000004">
      <c r="A92">
        <f>+Input!A124</f>
        <v>0</v>
      </c>
      <c r="B92" s="29"/>
      <c r="C92" s="17"/>
      <c r="D92" s="19"/>
    </row>
    <row r="93" spans="1:4" ht="14.5" customHeight="1" x14ac:dyDescent="0.55000000000000004">
      <c r="A93">
        <f>+Input!A125</f>
        <v>0</v>
      </c>
      <c r="B93" s="29"/>
      <c r="C93" s="17"/>
      <c r="D93" s="19"/>
    </row>
    <row r="94" spans="1:4" ht="14.5" customHeight="1" x14ac:dyDescent="0.55000000000000004">
      <c r="A94">
        <f>+Input!A126</f>
        <v>0</v>
      </c>
      <c r="B94" s="29"/>
      <c r="C94" s="17"/>
      <c r="D94" s="19"/>
    </row>
    <row r="95" spans="1:4" x14ac:dyDescent="0.55000000000000004">
      <c r="A95" t="s">
        <v>39</v>
      </c>
      <c r="B95" s="16"/>
      <c r="C95" s="17"/>
      <c r="D95" s="25"/>
    </row>
    <row r="96" spans="1:4" x14ac:dyDescent="0.55000000000000004">
      <c r="B96" s="16"/>
      <c r="C96" s="17"/>
      <c r="D96" s="19"/>
    </row>
    <row r="97" spans="1:4" ht="14.7" thickBot="1" x14ac:dyDescent="0.6">
      <c r="A97" t="s">
        <v>40</v>
      </c>
      <c r="B97" s="27"/>
      <c r="C97" s="28"/>
      <c r="D97" s="32">
        <f>D70+D86+D89+D90</f>
        <v>62.84</v>
      </c>
    </row>
    <row r="99" spans="1:4" x14ac:dyDescent="0.55000000000000004">
      <c r="A99" t="s">
        <v>81</v>
      </c>
    </row>
  </sheetData>
  <mergeCells count="2">
    <mergeCell ref="B13:D13"/>
    <mergeCell ref="B61:D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ECD1EAF0-CAC3-4407-9CD6-3EE76041AE48}">
            <xm:f>OR(Input!$B62="Fixed",Input!$B62="Volumetric")</xm:f>
            <x14:dxf>
              <numFmt numFmtId="171" formatCode="&quot;$&quot;#,##0.000"/>
            </x14:dxf>
          </x14:cfRule>
          <x14:cfRule type="expression" priority="4" id="{58F487DF-4CBE-4A72-AFD4-76A294C106DB}">
            <xm:f>Input!$B62="Percentage"</xm:f>
            <x14:dxf>
              <numFmt numFmtId="166" formatCode="0.000%"/>
            </x14:dxf>
          </x14:cfRule>
          <xm:sqref>B73:B85</xm:sqref>
        </x14:conditionalFormatting>
        <x14:conditionalFormatting xmlns:xm="http://schemas.microsoft.com/office/excel/2006/main">
          <x14:cfRule type="expression" priority="1" id="{FFD2DBB3-AA00-4DA2-B088-C19FD38195E0}">
            <xm:f>OR(Input!$B46="Fixed",Input!$B46="Volumetric")</xm:f>
            <x14:dxf>
              <numFmt numFmtId="171" formatCode="&quot;$&quot;#,##0.000"/>
            </x14:dxf>
          </x14:cfRule>
          <x14:cfRule type="expression" priority="2" id="{556CE0E5-FC03-428C-90C5-A23D8BFC690C}">
            <xm:f>Input!$B46="Percentage"</xm:f>
            <x14:dxf>
              <numFmt numFmtId="166" formatCode="0.000%"/>
            </x14:dxf>
          </x14:cfRule>
          <xm:sqref>B25:B37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Input!$A$28:$A$42</xm:f>
          </x14:formula1>
          <xm:sqref>B6</xm:sqref>
        </x14:dataValidation>
        <x14:dataValidation type="list" allowBlank="1" showInputMessage="1" showErrorMessage="1">
          <x14:formula1>
            <xm:f>Input!$A$86:$A$92</xm:f>
          </x14:formula1>
          <xm:sqref>B60 B11:B12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99"/>
  <sheetViews>
    <sheetView zoomScale="115" zoomScaleNormal="115" workbookViewId="0">
      <pane xSplit="1" topLeftCell="B1" activePane="topRight" state="frozen"/>
      <selection activeCell="A72" activeCellId="1" sqref="L76 A72:XFD72"/>
      <selection pane="topRight" activeCell="B19" sqref="B19"/>
    </sheetView>
  </sheetViews>
  <sheetFormatPr defaultRowHeight="14.4" x14ac:dyDescent="0.55000000000000004"/>
  <cols>
    <col min="1" max="1" width="30.41796875" customWidth="1"/>
    <col min="2" max="2" width="11.15625" customWidth="1"/>
    <col min="3" max="3" width="14.83984375" bestFit="1" customWidth="1"/>
    <col min="4" max="4" width="10.15625" bestFit="1" customWidth="1"/>
    <col min="5" max="5" width="0.83984375" customWidth="1"/>
    <col min="6" max="6" width="10" bestFit="1" customWidth="1"/>
    <col min="7" max="7" width="13.83984375" bestFit="1" customWidth="1"/>
    <col min="8" max="8" width="10.15625" bestFit="1" customWidth="1"/>
    <col min="9" max="9" width="0.83984375" customWidth="1"/>
    <col min="11" max="11" width="13.83984375" bestFit="1" customWidth="1"/>
    <col min="13" max="13" width="0.83984375" customWidth="1"/>
    <col min="14" max="14" width="9.41796875" customWidth="1"/>
    <col min="15" max="15" width="13.83984375" customWidth="1"/>
    <col min="16" max="16" width="9.15625" customWidth="1"/>
    <col min="17" max="17" width="0.83984375" customWidth="1"/>
    <col min="18" max="18" width="9.15625" customWidth="1"/>
    <col min="19" max="19" width="13.83984375" customWidth="1"/>
    <col min="20" max="20" width="9.15625" customWidth="1"/>
    <col min="21" max="21" width="0.83984375" customWidth="1"/>
    <col min="22" max="22" width="9.15625" customWidth="1"/>
    <col min="23" max="23" width="13.83984375" customWidth="1"/>
    <col min="24" max="24" width="9.15625" customWidth="1"/>
    <col min="25" max="25" width="0.83984375" customWidth="1"/>
    <col min="26" max="26" width="9.15625" customWidth="1"/>
    <col min="27" max="27" width="13.83984375" customWidth="1"/>
    <col min="28" max="28" width="9.15625" customWidth="1"/>
    <col min="29" max="29" width="0.83984375" customWidth="1"/>
    <col min="30" max="30" width="9.15625" customWidth="1"/>
    <col min="31" max="31" width="13.83984375" customWidth="1"/>
    <col min="32" max="32" width="9.15625" customWidth="1"/>
    <col min="33" max="33" width="0.83984375" customWidth="1"/>
    <col min="34" max="34" width="9.15625" customWidth="1"/>
    <col min="35" max="35" width="13.83984375" customWidth="1"/>
    <col min="36" max="36" width="9.15625" customWidth="1"/>
    <col min="37" max="37" width="0.83984375" customWidth="1"/>
    <col min="38" max="38" width="9.15625" customWidth="1"/>
    <col min="39" max="39" width="13.83984375" customWidth="1"/>
    <col min="40" max="40" width="9.15625" customWidth="1"/>
    <col min="41" max="41" width="0.83984375" customWidth="1"/>
    <col min="42" max="42" width="9.15625" customWidth="1"/>
    <col min="43" max="43" width="13.83984375" customWidth="1"/>
    <col min="44" max="44" width="9.15625" customWidth="1"/>
    <col min="45" max="45" width="0.41796875" customWidth="1"/>
    <col min="46" max="46" width="9.15625" customWidth="1"/>
    <col min="47" max="47" width="13.83984375" customWidth="1"/>
    <col min="48" max="48" width="9.15625" customWidth="1"/>
  </cols>
  <sheetData>
    <row r="1" spans="1:48" x14ac:dyDescent="0.55000000000000004">
      <c r="A1" s="1" t="s">
        <v>0</v>
      </c>
    </row>
    <row r="2" spans="1:48" x14ac:dyDescent="0.55000000000000004">
      <c r="A2" s="1" t="s">
        <v>1</v>
      </c>
    </row>
    <row r="3" spans="1:48" x14ac:dyDescent="0.55000000000000004">
      <c r="A3" s="1" t="str">
        <f>Input!A86</f>
        <v>San Jose Water Company</v>
      </c>
    </row>
    <row r="4" spans="1:48" ht="14.7" thickBot="1" x14ac:dyDescent="0.6">
      <c r="A4" s="1"/>
    </row>
    <row r="5" spans="1:48" x14ac:dyDescent="0.55000000000000004">
      <c r="A5" s="11" t="s">
        <v>83</v>
      </c>
      <c r="B5" s="12">
        <f>Input!$B$9</f>
        <v>2022</v>
      </c>
    </row>
    <row r="6" spans="1:48" x14ac:dyDescent="0.55000000000000004">
      <c r="A6" s="13" t="s">
        <v>6</v>
      </c>
      <c r="B6" s="57" t="s">
        <v>14</v>
      </c>
      <c r="C6" t="s">
        <v>37</v>
      </c>
    </row>
    <row r="7" spans="1:48" x14ac:dyDescent="0.55000000000000004">
      <c r="A7" s="13" t="s">
        <v>41</v>
      </c>
      <c r="B7" s="14">
        <v>6</v>
      </c>
    </row>
    <row r="8" spans="1:48" x14ac:dyDescent="0.55000000000000004">
      <c r="A8" s="13" t="s">
        <v>8</v>
      </c>
      <c r="B8" s="14" t="s">
        <v>24</v>
      </c>
    </row>
    <row r="9" spans="1:48" x14ac:dyDescent="0.55000000000000004">
      <c r="A9" s="13" t="s">
        <v>89</v>
      </c>
      <c r="B9" s="14" t="s">
        <v>27</v>
      </c>
    </row>
    <row r="10" spans="1:48" x14ac:dyDescent="0.55000000000000004">
      <c r="A10" s="13" t="s">
        <v>51</v>
      </c>
      <c r="B10" s="14" t="str">
        <f>VLOOKUP(B11,Input!$A$86:$C$92,2,FALSE)</f>
        <v>San Jose Water Company</v>
      </c>
    </row>
    <row r="11" spans="1:48" ht="14.7" thickBot="1" x14ac:dyDescent="0.6">
      <c r="A11" s="15" t="s">
        <v>28</v>
      </c>
      <c r="B11" s="35" t="str">
        <f>'Residential Bill_Current_avg'!B11</f>
        <v>San Jose Water Company</v>
      </c>
    </row>
    <row r="12" spans="1:48" ht="14.7" thickBot="1" x14ac:dyDescent="0.6">
      <c r="A12" s="34"/>
      <c r="B12" s="24"/>
    </row>
    <row r="13" spans="1:48" ht="14.7" thickBot="1" x14ac:dyDescent="0.6">
      <c r="A13" s="1"/>
      <c r="B13" s="209" t="str">
        <f>CONCATENATE("January"," ",$B$5)</f>
        <v>January 2022</v>
      </c>
      <c r="C13" s="210"/>
      <c r="D13" s="211"/>
      <c r="F13" s="209" t="str">
        <f>CONCATENATE("February"," ",$B$5)</f>
        <v>February 2022</v>
      </c>
      <c r="G13" s="210"/>
      <c r="H13" s="211"/>
      <c r="J13" s="209" t="str">
        <f>CONCATENATE("March"," ",$B$5)</f>
        <v>March 2022</v>
      </c>
      <c r="K13" s="210"/>
      <c r="L13" s="211"/>
      <c r="N13" s="209" t="str">
        <f>CONCATENATE("April"," ",$B$5)</f>
        <v>April 2022</v>
      </c>
      <c r="O13" s="210"/>
      <c r="P13" s="211"/>
      <c r="R13" s="209" t="str">
        <f>CONCATENATE("May"," ",$B$5)</f>
        <v>May 2022</v>
      </c>
      <c r="S13" s="210"/>
      <c r="T13" s="211"/>
      <c r="V13" s="209" t="str">
        <f>CONCATENATE("June"," ",$B$5)</f>
        <v>June 2022</v>
      </c>
      <c r="W13" s="210"/>
      <c r="X13" s="211"/>
      <c r="Z13" s="209" t="str">
        <f>CONCATENATE("July"," ",$B$5)</f>
        <v>July 2022</v>
      </c>
      <c r="AA13" s="210"/>
      <c r="AB13" s="211"/>
      <c r="AD13" s="209" t="str">
        <f>CONCATENATE("August"," ",$B$5)</f>
        <v>August 2022</v>
      </c>
      <c r="AE13" s="210"/>
      <c r="AF13" s="211"/>
      <c r="AH13" s="209" t="str">
        <f>CONCATENATE("September"," ",$B$5)</f>
        <v>September 2022</v>
      </c>
      <c r="AI13" s="210"/>
      <c r="AJ13" s="211"/>
      <c r="AL13" s="209" t="str">
        <f>CONCATENATE("October"," ",$B$5)</f>
        <v>October 2022</v>
      </c>
      <c r="AM13" s="210"/>
      <c r="AN13" s="211"/>
      <c r="AP13" s="209" t="str">
        <f>CONCATENATE("November"," ",$B$5)</f>
        <v>November 2022</v>
      </c>
      <c r="AQ13" s="210"/>
      <c r="AR13" s="211"/>
      <c r="AS13" s="171"/>
      <c r="AT13" s="209" t="str">
        <f>CONCATENATE("December"," ",$B$5)</f>
        <v>December 2022</v>
      </c>
      <c r="AU13" s="210"/>
      <c r="AV13" s="211"/>
    </row>
    <row r="14" spans="1:48" x14ac:dyDescent="0.55000000000000004">
      <c r="A14" s="1" t="s">
        <v>5</v>
      </c>
      <c r="B14" s="16"/>
      <c r="C14" s="17"/>
      <c r="D14" s="18">
        <f>INDEX(Input!$C$28:$AL$42,MATCH('Residential Bills_Yr 1_6 Units'!$B$6,Input!$A$28:$A$42,0),MATCH('Residential Bills_Yr 1_6 Units'!B$13,Input!$C$27:$AL$27,0))</f>
        <v>41.69</v>
      </c>
      <c r="F14" s="16"/>
      <c r="G14" s="17"/>
      <c r="H14" s="18">
        <f>INDEX(Input!$C$28:$AL$42,MATCH('Residential Bills_Yr 1_6 Units'!$B$6,Input!$A$28:$A$42,0),MATCH('Residential Bills_Yr 1_6 Units'!F$13,Input!$C$27:$AL$27,0))</f>
        <v>41.69</v>
      </c>
      <c r="J14" s="16"/>
      <c r="K14" s="17"/>
      <c r="L14" s="18">
        <f>INDEX(Input!$C$28:$AL$42,MATCH('Residential Bills_Yr 1_6 Units'!$B$6,Input!$A$28:$A$42,0),MATCH('Residential Bills_Yr 1_6 Units'!J$13,Input!$C$27:$AL$27,0))</f>
        <v>41.69</v>
      </c>
      <c r="N14" s="16"/>
      <c r="O14" s="17"/>
      <c r="P14" s="18">
        <f>INDEX(Input!$C$28:$AL$42,MATCH('Residential Bills_Yr 1_6 Units'!$B$6,Input!$A$28:$A$42,0),MATCH('Residential Bills_Yr 1_6 Units'!N$13,Input!$C$27:$AL$27,0))</f>
        <v>41.69</v>
      </c>
      <c r="R14" s="16"/>
      <c r="S14" s="17"/>
      <c r="T14" s="18">
        <f>INDEX(Input!$C$28:$AL$42,MATCH('Residential Bills_Yr 1_6 Units'!$B$6,Input!$A$28:$A$42,0),MATCH('Residential Bills_Yr 1_6 Units'!R$13,Input!$C$27:$AL$27,0))</f>
        <v>41.69</v>
      </c>
      <c r="V14" s="16"/>
      <c r="W14" s="17"/>
      <c r="X14" s="18">
        <f>INDEX(Input!$C$28:$AL$42,MATCH('Residential Bills_Yr 1_6 Units'!$B$6,Input!$A$28:$A$42,0),MATCH('Residential Bills_Yr 1_6 Units'!V$13,Input!$C$27:$AL$27,0))</f>
        <v>41.69</v>
      </c>
      <c r="Z14" s="16"/>
      <c r="AA14" s="17"/>
      <c r="AB14" s="18">
        <f>INDEX(Input!$C$28:$AL$42,MATCH('Residential Bills_Yr 1_6 Units'!$B$6,Input!$A$28:$A$42,0),MATCH('Residential Bills_Yr 1_6 Units'!Z$13,Input!$C$27:$AL$27,0))</f>
        <v>41.71</v>
      </c>
      <c r="AD14" s="16"/>
      <c r="AE14" s="17"/>
      <c r="AF14" s="18">
        <f>INDEX(Input!$C$28:$AL$42,MATCH('Residential Bills_Yr 1_6 Units'!$B$6,Input!$A$28:$A$42,0),MATCH('Residential Bills_Yr 1_6 Units'!AD$13,Input!$C$27:$AL$27,0))</f>
        <v>41.71</v>
      </c>
      <c r="AH14" s="16"/>
      <c r="AI14" s="17"/>
      <c r="AJ14" s="18">
        <f>INDEX(Input!$C$28:$AL$42,MATCH('Residential Bills_Yr 1_6 Units'!$B$6,Input!$A$28:$A$42,0),MATCH('Residential Bills_Yr 1_6 Units'!AH$13,Input!$C$27:$AL$27,0))</f>
        <v>41.71</v>
      </c>
      <c r="AL14" s="16"/>
      <c r="AM14" s="17"/>
      <c r="AN14" s="18">
        <f>INDEX(Input!$C$28:$AL$42,MATCH('Residential Bills_Yr 1_6 Units'!$B$6,Input!$A$28:$A$42,0),MATCH('Residential Bills_Yr 1_6 Units'!AL$13,Input!$C$27:$AL$27,0))</f>
        <v>41.71</v>
      </c>
      <c r="AP14" s="16"/>
      <c r="AQ14" s="17"/>
      <c r="AR14" s="18">
        <f>INDEX(Input!$C$28:$AL$42,MATCH('Residential Bills_Yr 1_6 Units'!$B$6,Input!$A$28:$A$42,0),MATCH('Residential Bills_Yr 1_6 Units'!AP$13,Input!$C$27:$AL$27,0))</f>
        <v>50.88</v>
      </c>
      <c r="AS14" s="175"/>
      <c r="AT14" s="16"/>
      <c r="AU14" s="17"/>
      <c r="AV14" s="18">
        <f>INDEX(Input!$C$28:$AL$42,MATCH('Residential Bills_Yr 1_6 Units'!$B$6,Input!$A$28:$A$42,0),MATCH('Residential Bills_Yr 1_6 Units'!AT$13,Input!$C$27:$AL$27,0))</f>
        <v>50.88</v>
      </c>
    </row>
    <row r="15" spans="1:48" x14ac:dyDescent="0.55000000000000004">
      <c r="B15" s="16"/>
      <c r="C15" s="17"/>
      <c r="D15" s="19"/>
      <c r="F15" s="16"/>
      <c r="G15" s="17"/>
      <c r="H15" s="19"/>
      <c r="J15" s="16"/>
      <c r="K15" s="17"/>
      <c r="L15" s="19"/>
      <c r="N15" s="16"/>
      <c r="O15" s="17"/>
      <c r="P15" s="19"/>
      <c r="R15" s="16"/>
      <c r="S15" s="17"/>
      <c r="T15" s="19"/>
      <c r="V15" s="16"/>
      <c r="W15" s="17"/>
      <c r="X15" s="19"/>
      <c r="Z15" s="16"/>
      <c r="AA15" s="17"/>
      <c r="AB15" s="19"/>
      <c r="AD15" s="16"/>
      <c r="AE15" s="17"/>
      <c r="AF15" s="19"/>
      <c r="AH15" s="16"/>
      <c r="AI15" s="17"/>
      <c r="AJ15" s="19"/>
      <c r="AL15" s="16"/>
      <c r="AM15" s="17"/>
      <c r="AN15" s="19"/>
      <c r="AP15" s="16"/>
      <c r="AQ15" s="17"/>
      <c r="AR15" s="19"/>
      <c r="AS15" s="17"/>
      <c r="AT15" s="16"/>
      <c r="AU15" s="17"/>
      <c r="AV15" s="19"/>
    </row>
    <row r="16" spans="1:48" x14ac:dyDescent="0.55000000000000004">
      <c r="A16" s="1" t="s">
        <v>33</v>
      </c>
      <c r="B16" s="20" t="s">
        <v>29</v>
      </c>
      <c r="C16" s="21" t="s">
        <v>7</v>
      </c>
      <c r="D16" s="22" t="s">
        <v>30</v>
      </c>
      <c r="F16" s="20" t="s">
        <v>29</v>
      </c>
      <c r="G16" s="21" t="s">
        <v>7</v>
      </c>
      <c r="H16" s="111" t="s">
        <v>30</v>
      </c>
      <c r="J16" s="20" t="s">
        <v>29</v>
      </c>
      <c r="K16" s="21" t="s">
        <v>7</v>
      </c>
      <c r="L16" s="111" t="s">
        <v>30</v>
      </c>
      <c r="N16" s="20" t="s">
        <v>29</v>
      </c>
      <c r="O16" s="21" t="s">
        <v>7</v>
      </c>
      <c r="P16" s="111" t="s">
        <v>30</v>
      </c>
      <c r="R16" s="20" t="s">
        <v>29</v>
      </c>
      <c r="S16" s="21" t="s">
        <v>7</v>
      </c>
      <c r="T16" s="111" t="s">
        <v>30</v>
      </c>
      <c r="V16" s="20" t="s">
        <v>29</v>
      </c>
      <c r="W16" s="21" t="s">
        <v>7</v>
      </c>
      <c r="X16" s="111" t="s">
        <v>30</v>
      </c>
      <c r="Z16" s="20" t="s">
        <v>29</v>
      </c>
      <c r="AA16" s="21" t="s">
        <v>7</v>
      </c>
      <c r="AB16" s="111" t="s">
        <v>30</v>
      </c>
      <c r="AD16" s="20" t="s">
        <v>29</v>
      </c>
      <c r="AE16" s="21" t="s">
        <v>7</v>
      </c>
      <c r="AF16" s="111" t="s">
        <v>30</v>
      </c>
      <c r="AH16" s="20" t="s">
        <v>29</v>
      </c>
      <c r="AI16" s="21" t="s">
        <v>7</v>
      </c>
      <c r="AJ16" s="111" t="s">
        <v>30</v>
      </c>
      <c r="AL16" s="20" t="s">
        <v>29</v>
      </c>
      <c r="AM16" s="21" t="s">
        <v>7</v>
      </c>
      <c r="AN16" s="111" t="s">
        <v>30</v>
      </c>
      <c r="AP16" s="20" t="s">
        <v>29</v>
      </c>
      <c r="AQ16" s="21" t="s">
        <v>7</v>
      </c>
      <c r="AR16" s="111" t="s">
        <v>30</v>
      </c>
      <c r="AS16" s="170"/>
      <c r="AT16" s="20" t="s">
        <v>29</v>
      </c>
      <c r="AU16" s="21" t="s">
        <v>7</v>
      </c>
      <c r="AV16" s="111" t="s">
        <v>30</v>
      </c>
    </row>
    <row r="17" spans="1:48" x14ac:dyDescent="0.55000000000000004">
      <c r="A17" t="str">
        <f>Input!A21</f>
        <v>Tier 1</v>
      </c>
      <c r="B17" s="23">
        <f>INDEX(Input!$C$21:$AL$25,MATCH('Residential Bills_Yr 1_6 Units'!$A17,Input!$A$21:$A$25,0),MATCH('Residential Bills_Yr 1_6 Units'!B$13,Input!$C$20:$AL$20,0))</f>
        <v>3.7563</v>
      </c>
      <c r="C17" s="24">
        <f>IF($B$7&gt;Input!F87,Input!F87,'Residential Bills_Yr 1_6 Units'!$B$7)</f>
        <v>3</v>
      </c>
      <c r="D17" s="25">
        <f>ROUND(IFERROR(B17*C17," "),2)</f>
        <v>11.27</v>
      </c>
      <c r="F17" s="23">
        <f>INDEX(Input!$C$21:$AL$25,MATCH('Residential Bills_Yr 1_6 Units'!$A17,Input!$A$21:$A$25,0),MATCH('Residential Bills_Yr 1_6 Units'!F$13,Input!$C$20:$AL$20,0))</f>
        <v>3.7563</v>
      </c>
      <c r="G17" s="24">
        <f>IF($B$7&gt;Input!G87,Input!G87,'Residential Bills_Yr 1_6 Units'!$B$7)</f>
        <v>3</v>
      </c>
      <c r="H17" s="25">
        <f>ROUND(IFERROR(F17*G17," "),2)</f>
        <v>11.27</v>
      </c>
      <c r="J17" s="23">
        <f>INDEX(Input!$C$21:$AL$25,MATCH('Residential Bills_Yr 1_6 Units'!$A17,Input!$A$21:$A$25,0),MATCH('Residential Bills_Yr 1_6 Units'!J$13,Input!$C$20:$AL$20,0))</f>
        <v>3.7563</v>
      </c>
      <c r="K17" s="24">
        <f>IF($B$7&gt;Input!H87,Input!H87,'Residential Bills_Yr 1_6 Units'!$B$7)</f>
        <v>3</v>
      </c>
      <c r="L17" s="25">
        <f>ROUND(IFERROR(J17*K17," "),2)</f>
        <v>11.27</v>
      </c>
      <c r="N17" s="23">
        <f>INDEX(Input!$C$21:$AL$25,MATCH('Residential Bills_Yr 1_6 Units'!$A17,Input!$A$21:$A$25,0),MATCH('Residential Bills_Yr 1_6 Units'!N$13,Input!$C$20:$AL$20,0))</f>
        <v>3.7563</v>
      </c>
      <c r="O17" s="24">
        <f>IF($B$7&gt;Input!I87,Input!I87,'Residential Bills_Yr 1_6 Units'!$B$7)</f>
        <v>3</v>
      </c>
      <c r="P17" s="25">
        <f>ROUND(IFERROR(N17*O17," "),2)</f>
        <v>11.27</v>
      </c>
      <c r="R17" s="23">
        <f>INDEX(Input!$C$21:$AL$25,MATCH('Residential Bills_Yr 1_6 Units'!$A17,Input!$A$21:$A$25,0),MATCH('Residential Bills_Yr 1_6 Units'!R$13,Input!$C$20:$AL$20,0))</f>
        <v>3.7563</v>
      </c>
      <c r="S17" s="24">
        <f>IF($B$7&gt;Input!J87,Input!J87,'Residential Bills_Yr 1_6 Units'!$B$7)</f>
        <v>3</v>
      </c>
      <c r="T17" s="25">
        <f>ROUND(IFERROR(R17*S17," "),2)</f>
        <v>11.27</v>
      </c>
      <c r="V17" s="23">
        <f>INDEX(Input!$C$21:$AL$25,MATCH('Residential Bills_Yr 1_6 Units'!$A17,Input!$A$21:$A$25,0),MATCH('Residential Bills_Yr 1_6 Units'!V$13,Input!$C$20:$AL$20,0))</f>
        <v>3.7563</v>
      </c>
      <c r="W17" s="24">
        <f>IF($B$7&gt;Input!K87,Input!K87,'Residential Bills_Yr 1_6 Units'!$B$7)</f>
        <v>3</v>
      </c>
      <c r="X17" s="25">
        <f>ROUND(IFERROR(V17*W17," "),2)</f>
        <v>11.27</v>
      </c>
      <c r="Z17" s="23">
        <f>INDEX(Input!$C$21:$AL$25,MATCH('Residential Bills_Yr 1_6 Units'!$A17,Input!$A$21:$A$25,0),MATCH('Residential Bills_Yr 1_6 Units'!Z$13,Input!$C$20:$AL$20,0))</f>
        <v>4.2720000000000002</v>
      </c>
      <c r="AA17" s="24">
        <f>IF($B$7&gt;Input!L87,Input!L87,'Residential Bills_Yr 1_6 Units'!$B$7)</f>
        <v>3</v>
      </c>
      <c r="AB17" s="25">
        <f>ROUND(IFERROR(Z17*AA17," "),2)</f>
        <v>12.82</v>
      </c>
      <c r="AD17" s="23">
        <f>INDEX(Input!$C$21:$AL$25,MATCH('Residential Bills_Yr 1_6 Units'!$A17,Input!$A$21:$A$25,0),MATCH('Residential Bills_Yr 1_6 Units'!AD$13,Input!$C$20:$AL$20,0))</f>
        <v>4.2720000000000002</v>
      </c>
      <c r="AE17" s="24">
        <f>IF($B$7&gt;Input!M87,Input!M87,'Residential Bills_Yr 1_6 Units'!$B$7)</f>
        <v>3</v>
      </c>
      <c r="AF17" s="25">
        <f>ROUND(IFERROR(AD17*AE17," "),2)</f>
        <v>12.82</v>
      </c>
      <c r="AH17" s="23">
        <f>INDEX(Input!$C$21:$AL$25,MATCH('Residential Bills_Yr 1_6 Units'!$A17,Input!$A$21:$A$25,0),MATCH('Residential Bills_Yr 1_6 Units'!AH$13,Input!$C$20:$AL$20,0))</f>
        <v>4.2720000000000002</v>
      </c>
      <c r="AI17" s="24">
        <f>IF($B$7&gt;Input!N87,Input!N87,'Residential Bills_Yr 1_6 Units'!$B$7)</f>
        <v>3</v>
      </c>
      <c r="AJ17" s="25">
        <f>ROUND(IFERROR(AH17*AI17," "),2)</f>
        <v>12.82</v>
      </c>
      <c r="AL17" s="23">
        <f>INDEX(Input!$C$21:$AL$25,MATCH('Residential Bills_Yr 1_6 Units'!$A17,Input!$A$21:$A$25,0),MATCH('Residential Bills_Yr 1_6 Units'!AL$13,Input!$C$20:$AL$20,0))</f>
        <v>4.2720000000000002</v>
      </c>
      <c r="AM17" s="24">
        <f>IF($B$7&gt;Input!O87,Input!O87,'Residential Bills_Yr 1_6 Units'!$B$7)</f>
        <v>3</v>
      </c>
      <c r="AN17" s="25">
        <f>ROUND(IFERROR(AL17*AM17," "),2)</f>
        <v>12.82</v>
      </c>
      <c r="AP17" s="23">
        <f>INDEX(Input!$C$21:$AL$25,MATCH('Residential Bills_Yr 1_6 Units'!$A17,Input!$A$21:$A$25,0),MATCH('Residential Bills_Yr 1_6 Units'!AP$13,Input!$C$20:$AL$20,0))</f>
        <v>4.0001999999999995</v>
      </c>
      <c r="AQ17" s="24">
        <f>IF($B$7&gt;Input!P87,Input!P87,'Residential Bills_Yr 1_6 Units'!$B$7)</f>
        <v>6</v>
      </c>
      <c r="AR17" s="25">
        <f>ROUND(IFERROR(AP17*AQ17," "),2)</f>
        <v>24</v>
      </c>
      <c r="AS17" s="30"/>
      <c r="AT17" s="23">
        <f>INDEX(Input!$C$21:$AL$25,MATCH('Residential Bills_Yr 1_6 Units'!$A17,Input!$A$21:$A$25,0),MATCH('Residential Bills_Yr 1_6 Units'!AT$13,Input!$C$20:$AL$20,0))</f>
        <v>4.0001999999999995</v>
      </c>
      <c r="AU17" s="24">
        <f>IF($B$7&gt;Input!Q87,Input!Q87,'Residential Bills_Yr 1_6 Units'!$B$7)</f>
        <v>6</v>
      </c>
      <c r="AV17" s="25">
        <f>ROUND(IFERROR(AT17*AU17," "),2)</f>
        <v>24</v>
      </c>
    </row>
    <row r="18" spans="1:48" x14ac:dyDescent="0.55000000000000004">
      <c r="A18" t="str">
        <f>Input!A22</f>
        <v>Tier 2</v>
      </c>
      <c r="B18" s="23">
        <f>INDEX(Input!$C$21:$AL$25,MATCH('Residential Bills_Yr 1_6 Units'!$A18,Input!$A$21:$A$25,0),MATCH('Residential Bills_Yr 1_6 Units'!B$13,Input!$C$20:$AL$20,0))</f>
        <v>5.4452999999999996</v>
      </c>
      <c r="C18" s="24">
        <f>IF(($B$7-C17)&gt;Input!F88,Input!F88,($B$7-C17))</f>
        <v>3</v>
      </c>
      <c r="D18" s="25">
        <f>ROUND(IFERROR(B18*C18," "),2)</f>
        <v>16.34</v>
      </c>
      <c r="F18" s="23">
        <f>INDEX(Input!$C$21:$AL$25,MATCH('Residential Bills_Yr 1_6 Units'!$A18,Input!$A$21:$A$25,0),MATCH('Residential Bills_Yr 1_6 Units'!F$13,Input!$C$20:$AL$20,0))</f>
        <v>5.4452999999999996</v>
      </c>
      <c r="G18" s="24">
        <f>IF(($B$7-G17)&gt;Input!G88,Input!G88,($B$7-G17))</f>
        <v>3</v>
      </c>
      <c r="H18" s="25">
        <f>ROUND(IFERROR(F18*G18," "),2)</f>
        <v>16.34</v>
      </c>
      <c r="J18" s="23">
        <f>INDEX(Input!$C$21:$AL$25,MATCH('Residential Bills_Yr 1_6 Units'!$A18,Input!$A$21:$A$25,0),MATCH('Residential Bills_Yr 1_6 Units'!J$13,Input!$C$20:$AL$20,0))</f>
        <v>5.4452999999999996</v>
      </c>
      <c r="K18" s="24">
        <f>IF(($B$7-K17)&gt;Input!H88,Input!H88,($B$7-K17))</f>
        <v>3</v>
      </c>
      <c r="L18" s="25">
        <f>ROUND(IFERROR(J18*K18," "),2)</f>
        <v>16.34</v>
      </c>
      <c r="N18" s="23">
        <f>INDEX(Input!$C$21:$AL$25,MATCH('Residential Bills_Yr 1_6 Units'!$A18,Input!$A$21:$A$25,0),MATCH('Residential Bills_Yr 1_6 Units'!N$13,Input!$C$20:$AL$20,0))</f>
        <v>5.4452999999999996</v>
      </c>
      <c r="O18" s="24">
        <f>IF(($B$7-O17)&gt;Input!I88,Input!I88,($B$7-O17))</f>
        <v>3</v>
      </c>
      <c r="P18" s="25">
        <f>ROUND(IFERROR(N18*O18," "),2)</f>
        <v>16.34</v>
      </c>
      <c r="R18" s="23">
        <f>INDEX(Input!$C$21:$AL$25,MATCH('Residential Bills_Yr 1_6 Units'!$A18,Input!$A$21:$A$25,0),MATCH('Residential Bills_Yr 1_6 Units'!R$13,Input!$C$20:$AL$20,0))</f>
        <v>5.4452999999999996</v>
      </c>
      <c r="S18" s="24">
        <f>IF(($B$7-S17)&gt;Input!J88,Input!J88,($B$7-S17))</f>
        <v>3</v>
      </c>
      <c r="T18" s="25">
        <f>ROUND(IFERROR(R18*S18," "),2)</f>
        <v>16.34</v>
      </c>
      <c r="V18" s="23">
        <f>INDEX(Input!$C$21:$AL$25,MATCH('Residential Bills_Yr 1_6 Units'!$A18,Input!$A$21:$A$25,0),MATCH('Residential Bills_Yr 1_6 Units'!V$13,Input!$C$20:$AL$20,0))</f>
        <v>5.4452999999999996</v>
      </c>
      <c r="W18" s="24">
        <f>IF(($B$7-W17)&gt;Input!K88,Input!K88,($B$7-W17))</f>
        <v>3</v>
      </c>
      <c r="X18" s="25">
        <f>ROUND(IFERROR(V18*W18," "),2)</f>
        <v>16.34</v>
      </c>
      <c r="Z18" s="23">
        <f>INDEX(Input!$C$21:$AL$25,MATCH('Residential Bills_Yr 1_6 Units'!$A18,Input!$A$21:$A$25,0),MATCH('Residential Bills_Yr 1_6 Units'!Z$13,Input!$C$20:$AL$20,0))</f>
        <v>5.9619999999999997</v>
      </c>
      <c r="AA18" s="24">
        <f>IF(($B$7-AA17)&gt;Input!L88,Input!L88,($B$7-AA17))</f>
        <v>3</v>
      </c>
      <c r="AB18" s="25">
        <f>ROUND(IFERROR(Z18*AA18," "),2)</f>
        <v>17.89</v>
      </c>
      <c r="AD18" s="23">
        <f>INDEX(Input!$C$21:$AL$25,MATCH('Residential Bills_Yr 1_6 Units'!$A18,Input!$A$21:$A$25,0),MATCH('Residential Bills_Yr 1_6 Units'!AD$13,Input!$C$20:$AL$20,0))</f>
        <v>5.9619999999999997</v>
      </c>
      <c r="AE18" s="24">
        <f>IF(($B$7-AE17)&gt;Input!M88,Input!M88,($B$7-AE17))</f>
        <v>3</v>
      </c>
      <c r="AF18" s="25">
        <f>ROUND(IFERROR(AD18*AE18," "),2)</f>
        <v>17.89</v>
      </c>
      <c r="AH18" s="23">
        <f>INDEX(Input!$C$21:$AL$25,MATCH('Residential Bills_Yr 1_6 Units'!$A18,Input!$A$21:$A$25,0),MATCH('Residential Bills_Yr 1_6 Units'!AH$13,Input!$C$20:$AL$20,0))</f>
        <v>5.9619999999999997</v>
      </c>
      <c r="AI18" s="24">
        <f>IF(($B$7-AI17)&gt;Input!N88,Input!N88,($B$7-AI17))</f>
        <v>3</v>
      </c>
      <c r="AJ18" s="25">
        <f>ROUND(IFERROR(AH18*AI18," "),2)</f>
        <v>17.89</v>
      </c>
      <c r="AL18" s="23">
        <f>INDEX(Input!$C$21:$AL$25,MATCH('Residential Bills_Yr 1_6 Units'!$A18,Input!$A$21:$A$25,0),MATCH('Residential Bills_Yr 1_6 Units'!AL$13,Input!$C$20:$AL$20,0))</f>
        <v>5.9619999999999997</v>
      </c>
      <c r="AM18" s="24">
        <f>IF(($B$7-AM17)&gt;Input!O88,Input!O88,($B$7-AM17))</f>
        <v>3</v>
      </c>
      <c r="AN18" s="25">
        <f>ROUND(IFERROR(AL18*AM18," "),2)</f>
        <v>17.89</v>
      </c>
      <c r="AP18" s="23">
        <f>INDEX(Input!$C$21:$AL$25,MATCH('Residential Bills_Yr 1_6 Units'!$A18,Input!$A$21:$A$25,0),MATCH('Residential Bills_Yr 1_6 Units'!AP$13,Input!$C$20:$AL$20,0))</f>
        <v>5.7175000000000002</v>
      </c>
      <c r="AQ18" s="24">
        <f>IF(($B$7-AQ17)&gt;Input!P88,Input!P88,($B$7-AQ17))</f>
        <v>0</v>
      </c>
      <c r="AR18" s="25">
        <f>ROUND(IFERROR(AP18*AQ18," "),2)</f>
        <v>0</v>
      </c>
      <c r="AS18" s="30"/>
      <c r="AT18" s="23">
        <f>INDEX(Input!$C$21:$AL$25,MATCH('Residential Bills_Yr 1_6 Units'!$A18,Input!$A$21:$A$25,0),MATCH('Residential Bills_Yr 1_6 Units'!AT$13,Input!$C$20:$AL$20,0))</f>
        <v>5.7175000000000002</v>
      </c>
      <c r="AU18" s="24">
        <f>IF(($B$7-AU17)&gt;Input!Q88,Input!Q88,($B$7-AU17))</f>
        <v>0</v>
      </c>
      <c r="AV18" s="25">
        <f>ROUND(IFERROR(AT18*AU18," "),2)</f>
        <v>0</v>
      </c>
    </row>
    <row r="19" spans="1:48" x14ac:dyDescent="0.55000000000000004">
      <c r="A19" t="str">
        <f>Input!A23</f>
        <v>Tier 3</v>
      </c>
      <c r="B19" s="23">
        <f>INDEX(Input!$C$21:$AL$25,MATCH('Residential Bills_Yr 1_6 Units'!$A19,Input!$A$21:$A$25,0),MATCH('Residential Bills_Yr 1_6 Units'!B$13,Input!$C$20:$AL$20,0))</f>
        <v>7.1337999999999999</v>
      </c>
      <c r="C19" s="24">
        <v>0</v>
      </c>
      <c r="D19" s="25">
        <f>ROUND(IFERROR(B19*C19," "),2)</f>
        <v>0</v>
      </c>
      <c r="F19" s="23">
        <f>INDEX(Input!$C$21:$AL$25,MATCH('Residential Bills_Yr 1_6 Units'!$A19,Input!$A$21:$A$25,0),MATCH('Residential Bills_Yr 1_6 Units'!F$13,Input!$C$20:$AL$20,0))</f>
        <v>7.1337999999999999</v>
      </c>
      <c r="G19" s="24">
        <f>IF(OR(Input!G85="Tier 4",Input!G85="Tier 5"),IF(('Residential Bills_Yr 1_6 Units'!$B$7-'Residential Bills_Yr 1_6 Units'!G17-'Residential Bills_Yr 1_6 Units'!G18)&gt;Input!G89,Input!G89,('Residential Bills_Yr 1_6 Units'!$B$7-'Residential Bills_Yr 1_6 Units'!G17-'Residential Bills_Yr 1_6 Units'!G18)),('Residential Bills_Yr 1_6 Units'!$B$7-'Residential Bills_Yr 1_6 Units'!G17-'Residential Bills_Yr 1_6 Units'!G18))</f>
        <v>0</v>
      </c>
      <c r="H19" s="25">
        <f>ROUND(IFERROR(F19*G19," "),2)</f>
        <v>0</v>
      </c>
      <c r="J19" s="23">
        <f>INDEX(Input!$C$21:$AL$25,MATCH('Residential Bills_Yr 1_6 Units'!$A19,Input!$A$21:$A$25,0),MATCH('Residential Bills_Yr 1_6 Units'!J$13,Input!$C$20:$AL$20,0))</f>
        <v>7.1337999999999999</v>
      </c>
      <c r="K19" s="24">
        <f>IF(OR(Input!H85="Tier 4",Input!H85="Tier 5"),IF(('Residential Bills_Yr 1_6 Units'!$B$7-'Residential Bills_Yr 1_6 Units'!K17-'Residential Bills_Yr 1_6 Units'!K18)&gt;Input!H89,Input!H89,('Residential Bills_Yr 1_6 Units'!$B$7-'Residential Bills_Yr 1_6 Units'!K17-'Residential Bills_Yr 1_6 Units'!K18)),('Residential Bills_Yr 1_6 Units'!$B$7-'Residential Bills_Yr 1_6 Units'!K17-'Residential Bills_Yr 1_6 Units'!K18))</f>
        <v>0</v>
      </c>
      <c r="L19" s="25">
        <f>ROUND(IFERROR(J19*K19," "),2)</f>
        <v>0</v>
      </c>
      <c r="N19" s="23">
        <f>INDEX(Input!$C$21:$AL$25,MATCH('Residential Bills_Yr 1_6 Units'!$A19,Input!$A$21:$A$25,0),MATCH('Residential Bills_Yr 1_6 Units'!N$13,Input!$C$20:$AL$20,0))</f>
        <v>7.1337999999999999</v>
      </c>
      <c r="O19" s="24">
        <f>IF(OR(Input!I85="Tier 4",Input!I85="Tier 5"),IF(('Residential Bills_Yr 1_6 Units'!$B$7-'Residential Bills_Yr 1_6 Units'!O17-'Residential Bills_Yr 1_6 Units'!O18)&gt;Input!I89,Input!I89,('Residential Bills_Yr 1_6 Units'!$B$7-'Residential Bills_Yr 1_6 Units'!O17-'Residential Bills_Yr 1_6 Units'!O18)),('Residential Bills_Yr 1_6 Units'!$B$7-'Residential Bills_Yr 1_6 Units'!O17-'Residential Bills_Yr 1_6 Units'!O18))</f>
        <v>0</v>
      </c>
      <c r="P19" s="25">
        <f>ROUND(IFERROR(N19*O19," "),2)</f>
        <v>0</v>
      </c>
      <c r="R19" s="23">
        <f>INDEX(Input!$C$21:$AL$25,MATCH('Residential Bills_Yr 1_6 Units'!$A19,Input!$A$21:$A$25,0),MATCH('Residential Bills_Yr 1_6 Units'!R$13,Input!$C$20:$AL$20,0))</f>
        <v>7.1337999999999999</v>
      </c>
      <c r="S19" s="24">
        <f>IF(OR(Input!J85="Tier 4",Input!J85="Tier 5"),IF(('Residential Bills_Yr 1_6 Units'!$B$7-'Residential Bills_Yr 1_6 Units'!S17-'Residential Bills_Yr 1_6 Units'!S18)&gt;Input!J89,Input!J89,('Residential Bills_Yr 1_6 Units'!$B$7-'Residential Bills_Yr 1_6 Units'!S17-'Residential Bills_Yr 1_6 Units'!S18)),('Residential Bills_Yr 1_6 Units'!$B$7-'Residential Bills_Yr 1_6 Units'!S17-'Residential Bills_Yr 1_6 Units'!S18))</f>
        <v>0</v>
      </c>
      <c r="T19" s="25">
        <f>ROUND(IFERROR(R19*S19," "),2)</f>
        <v>0</v>
      </c>
      <c r="V19" s="23">
        <f>INDEX(Input!$C$21:$AL$25,MATCH('Residential Bills_Yr 1_6 Units'!$A19,Input!$A$21:$A$25,0),MATCH('Residential Bills_Yr 1_6 Units'!V$13,Input!$C$20:$AL$20,0))</f>
        <v>7.1337999999999999</v>
      </c>
      <c r="W19" s="24">
        <f>IF(OR(Input!K85="Tier 4",Input!K85="Tier 5"),IF(('Residential Bills_Yr 1_6 Units'!$B$7-'Residential Bills_Yr 1_6 Units'!W17-'Residential Bills_Yr 1_6 Units'!W18)&gt;Input!K89,Input!K89,('Residential Bills_Yr 1_6 Units'!$B$7-'Residential Bills_Yr 1_6 Units'!W17-'Residential Bills_Yr 1_6 Units'!W18)),('Residential Bills_Yr 1_6 Units'!$B$7-'Residential Bills_Yr 1_6 Units'!W17-'Residential Bills_Yr 1_6 Units'!W18))</f>
        <v>0</v>
      </c>
      <c r="X19" s="25">
        <f>ROUND(IFERROR(V19*W19," "),2)</f>
        <v>0</v>
      </c>
      <c r="Z19" s="23">
        <f>INDEX(Input!$C$21:$AL$25,MATCH('Residential Bills_Yr 1_6 Units'!$A19,Input!$A$21:$A$25,0),MATCH('Residential Bills_Yr 1_6 Units'!Z$13,Input!$C$20:$AL$20,0))</f>
        <v>7.6515000000000004</v>
      </c>
      <c r="AA19" s="24">
        <f>IF(OR(Input!L85="Tier 4",Input!L85="Tier 5"),IF(('Residential Bills_Yr 1_6 Units'!$B$7-'Residential Bills_Yr 1_6 Units'!AA17-'Residential Bills_Yr 1_6 Units'!AA18)&gt;Input!L89,Input!L89,('Residential Bills_Yr 1_6 Units'!$B$7-'Residential Bills_Yr 1_6 Units'!AA17-'Residential Bills_Yr 1_6 Units'!AA18)),('Residential Bills_Yr 1_6 Units'!$B$7-'Residential Bills_Yr 1_6 Units'!AA17-'Residential Bills_Yr 1_6 Units'!AA18))</f>
        <v>0</v>
      </c>
      <c r="AB19" s="25">
        <f>ROUND(IFERROR(Z19*AA19," "),2)</f>
        <v>0</v>
      </c>
      <c r="AD19" s="23">
        <f>INDEX(Input!$C$21:$AL$25,MATCH('Residential Bills_Yr 1_6 Units'!$A19,Input!$A$21:$A$25,0),MATCH('Residential Bills_Yr 1_6 Units'!AD$13,Input!$C$20:$AL$20,0))</f>
        <v>7.6515000000000004</v>
      </c>
      <c r="AE19" s="24">
        <f>IF(OR(Input!M85="Tier 4",Input!M85="Tier 5"),IF(('Residential Bills_Yr 1_6 Units'!$B$7-'Residential Bills_Yr 1_6 Units'!AE17-'Residential Bills_Yr 1_6 Units'!AE18)&gt;Input!M89,Input!M89,('Residential Bills_Yr 1_6 Units'!$B$7-'Residential Bills_Yr 1_6 Units'!AE17-'Residential Bills_Yr 1_6 Units'!AE18)),('Residential Bills_Yr 1_6 Units'!$B$7-'Residential Bills_Yr 1_6 Units'!AE17-'Residential Bills_Yr 1_6 Units'!AE18))</f>
        <v>0</v>
      </c>
      <c r="AF19" s="25">
        <f>ROUND(IFERROR(AD19*AE19," "),2)</f>
        <v>0</v>
      </c>
      <c r="AH19" s="23">
        <f>INDEX(Input!$C$21:$AL$25,MATCH('Residential Bills_Yr 1_6 Units'!$A19,Input!$A$21:$A$25,0),MATCH('Residential Bills_Yr 1_6 Units'!AH$13,Input!$C$20:$AL$20,0))</f>
        <v>7.6515000000000004</v>
      </c>
      <c r="AI19" s="24">
        <f>IF(OR(Input!N85="Tier 4",Input!N85="Tier 5"),IF(('Residential Bills_Yr 1_6 Units'!$B$7-'Residential Bills_Yr 1_6 Units'!AI17-'Residential Bills_Yr 1_6 Units'!AI18)&gt;Input!N89,Input!N89,('Residential Bills_Yr 1_6 Units'!$B$7-'Residential Bills_Yr 1_6 Units'!AI17-'Residential Bills_Yr 1_6 Units'!AI18)),('Residential Bills_Yr 1_6 Units'!$B$7-'Residential Bills_Yr 1_6 Units'!AI17-'Residential Bills_Yr 1_6 Units'!AI18))</f>
        <v>0</v>
      </c>
      <c r="AJ19" s="25">
        <f>ROUND(IFERROR(AH19*AI19," "),2)</f>
        <v>0</v>
      </c>
      <c r="AL19" s="23">
        <f>INDEX(Input!$C$21:$AL$25,MATCH('Residential Bills_Yr 1_6 Units'!$A19,Input!$A$21:$A$25,0),MATCH('Residential Bills_Yr 1_6 Units'!AL$13,Input!$C$20:$AL$20,0))</f>
        <v>7.6515000000000004</v>
      </c>
      <c r="AM19" s="24">
        <f>IF(OR(Input!O85="Tier 4",Input!O85="Tier 5"),IF(('Residential Bills_Yr 1_6 Units'!$B$7-'Residential Bills_Yr 1_6 Units'!AM17-'Residential Bills_Yr 1_6 Units'!AM18)&gt;Input!O89,Input!O89,('Residential Bills_Yr 1_6 Units'!$B$7-'Residential Bills_Yr 1_6 Units'!AM17-'Residential Bills_Yr 1_6 Units'!AM18)),('Residential Bills_Yr 1_6 Units'!$B$7-'Residential Bills_Yr 1_6 Units'!AM17-'Residential Bills_Yr 1_6 Units'!AM18))</f>
        <v>0</v>
      </c>
      <c r="AN19" s="25">
        <f>ROUND(IFERROR(AL19*AM19," "),2)</f>
        <v>0</v>
      </c>
      <c r="AP19" s="23">
        <f>INDEX(Input!$C$21:$AL$25,MATCH('Residential Bills_Yr 1_6 Units'!$A19,Input!$A$21:$A$25,0),MATCH('Residential Bills_Yr 1_6 Units'!AP$13,Input!$C$20:$AL$20,0))</f>
        <v>8.821299999999999</v>
      </c>
      <c r="AQ19" s="24">
        <f>IF(OR(Input!P85="Tier 4",Input!P85="Tier 5"),IF(('Residential Bills_Yr 1_6 Units'!$B$7-'Residential Bills_Yr 1_6 Units'!AQ17-'Residential Bills_Yr 1_6 Units'!AQ18)&gt;Input!P89,Input!P89,('Residential Bills_Yr 1_6 Units'!$B$7-'Residential Bills_Yr 1_6 Units'!AQ17-'Residential Bills_Yr 1_6 Units'!AQ18)),('Residential Bills_Yr 1_6 Units'!$B$7-'Residential Bills_Yr 1_6 Units'!AQ17-'Residential Bills_Yr 1_6 Units'!AQ18))</f>
        <v>0</v>
      </c>
      <c r="AR19" s="25">
        <f>ROUND(IFERROR(AP19*AQ19," "),2)</f>
        <v>0</v>
      </c>
      <c r="AS19" s="30"/>
      <c r="AT19" s="23">
        <f>INDEX(Input!$C$21:$AL$25,MATCH('Residential Bills_Yr 1_6 Units'!$A19,Input!$A$21:$A$25,0),MATCH('Residential Bills_Yr 1_6 Units'!AT$13,Input!$C$20:$AL$20,0))</f>
        <v>8.821299999999999</v>
      </c>
      <c r="AU19" s="24">
        <f>IF(OR(Input!Q85="Tier 4",Input!Q85="Tier 5"),IF(('Residential Bills_Yr 1_6 Units'!$B$7-'Residential Bills_Yr 1_6 Units'!AU17-'Residential Bills_Yr 1_6 Units'!AU18)&gt;Input!Q89,Input!Q89,('Residential Bills_Yr 1_6 Units'!$B$7-'Residential Bills_Yr 1_6 Units'!AU17-'Residential Bills_Yr 1_6 Units'!AU18)),('Residential Bills_Yr 1_6 Units'!$B$7-'Residential Bills_Yr 1_6 Units'!AU17-'Residential Bills_Yr 1_6 Units'!AU18))</f>
        <v>0</v>
      </c>
      <c r="AV19" s="25">
        <f>ROUND(IFERROR(AT19*AU19," "),2)</f>
        <v>0</v>
      </c>
    </row>
    <row r="20" spans="1:48" ht="14.5" hidden="1" customHeight="1" x14ac:dyDescent="0.55000000000000004">
      <c r="A20" t="str">
        <f>Input!A24</f>
        <v>Tier 4</v>
      </c>
      <c r="B20" s="23">
        <f>INDEX(Input!$C$21:$AL$25,MATCH('Residential Bills_Yr 1_6 Units'!$A20,Input!$A$21:$A$25,0),MATCH('Residential Bills_Yr 1_6 Units'!B$13,Input!$C$20:$AL$20,0))</f>
        <v>0</v>
      </c>
      <c r="C20" s="24" t="str">
        <f>IF(Input!F85="Tier 4",($B$7-C17-C18-C19),IF(Input!F85="Tier 5",IF(('Residential Bills_Yr 1_6 Units'!$B$7-'Residential Bills_Yr 1_6 Units'!C17-'Residential Bills_Yr 1_6 Units'!C18-'Residential Bills_Yr 1_6 Units'!C19)&gt;Input!F90,Input!F90,('Residential Bills_Yr 1_6 Units'!$B$7-'Residential Bills_Yr 1_6 Units'!C17-'Residential Bills_Yr 1_6 Units'!C18-'Residential Bills_Yr 1_6 Units'!C19))," "))</f>
        <v xml:space="preserve"> </v>
      </c>
      <c r="D20" s="25" t="str">
        <f t="shared" ref="D20:D21" si="0">IFERROR(B20*C20," ")</f>
        <v xml:space="preserve"> </v>
      </c>
      <c r="F20" s="23">
        <f>INDEX(Input!$C$21:$AL$25,MATCH('Residential Bills_Yr 1_6 Units'!$A20,Input!$A$21:$A$25,0),MATCH('Residential Bills_Yr 1_6 Units'!F$13,Input!$C$20:$AL$20,0))</f>
        <v>0</v>
      </c>
      <c r="G20" s="24" t="str">
        <f>IF(Input!G85="Tier 4",($B$7-G17-G18-G19),IF(Input!G85="Tier 5",IF(('Residential Bills_Yr 1_6 Units'!$B$7-'Residential Bills_Yr 1_6 Units'!G17-'Residential Bills_Yr 1_6 Units'!G18-'Residential Bills_Yr 1_6 Units'!G19)&gt;Input!G90,Input!G90,('Residential Bills_Yr 1_6 Units'!$B$7-'Residential Bills_Yr 1_6 Units'!G17-'Residential Bills_Yr 1_6 Units'!G18-'Residential Bills_Yr 1_6 Units'!G19))," "))</f>
        <v xml:space="preserve"> </v>
      </c>
      <c r="H20" s="25" t="str">
        <f t="shared" ref="H20:H21" si="1">IFERROR(F20*G20," ")</f>
        <v xml:space="preserve"> </v>
      </c>
      <c r="J20" s="23">
        <f>INDEX(Input!$C$21:$AL$25,MATCH('Residential Bills_Yr 1_6 Units'!$A20,Input!$A$21:$A$25,0),MATCH('Residential Bills_Yr 1_6 Units'!J$13,Input!$C$20:$AL$20,0))</f>
        <v>0</v>
      </c>
      <c r="K20" s="24" t="str">
        <f>IF(Input!H85="Tier 4",($B$7-K17-K18-K19),IF(Input!H85="Tier 5",IF(('Residential Bills_Yr 1_6 Units'!$B$7-'Residential Bills_Yr 1_6 Units'!K17-'Residential Bills_Yr 1_6 Units'!K18-'Residential Bills_Yr 1_6 Units'!K19)&gt;Input!H90,Input!H90,('Residential Bills_Yr 1_6 Units'!$B$7-'Residential Bills_Yr 1_6 Units'!K17-'Residential Bills_Yr 1_6 Units'!K18-'Residential Bills_Yr 1_6 Units'!K19))," "))</f>
        <v xml:space="preserve"> </v>
      </c>
      <c r="L20" s="25" t="str">
        <f t="shared" ref="L20:L21" si="2">IFERROR(J20*K20," ")</f>
        <v xml:space="preserve"> </v>
      </c>
      <c r="N20" s="23">
        <f>INDEX(Input!$C$21:$AL$25,MATCH('Residential Bills_Yr 1_6 Units'!$A20,Input!$A$21:$A$25,0),MATCH('Residential Bills_Yr 1_6 Units'!N$13,Input!$C$20:$AL$20,0))</f>
        <v>0</v>
      </c>
      <c r="O20" s="24" t="str">
        <f>IF(Input!I85="Tier 4",($B$7-O17-O18-O19),IF(Input!I85="Tier 5",IF(('Residential Bills_Yr 1_6 Units'!$B$7-'Residential Bills_Yr 1_6 Units'!O17-'Residential Bills_Yr 1_6 Units'!O18-'Residential Bills_Yr 1_6 Units'!O19)&gt;Input!I90,Input!I90,('Residential Bills_Yr 1_6 Units'!$B$7-'Residential Bills_Yr 1_6 Units'!O17-'Residential Bills_Yr 1_6 Units'!O18-'Residential Bills_Yr 1_6 Units'!O19))," "))</f>
        <v xml:space="preserve"> </v>
      </c>
      <c r="P20" s="25" t="str">
        <f t="shared" ref="P20:P21" si="3">IFERROR(N20*O20," ")</f>
        <v xml:space="preserve"> </v>
      </c>
      <c r="R20" s="23">
        <f>INDEX(Input!$C$21:$AL$25,MATCH('Residential Bills_Yr 1_6 Units'!$A20,Input!$A$21:$A$25,0),MATCH('Residential Bills_Yr 1_6 Units'!R$13,Input!$C$20:$AL$20,0))</f>
        <v>0</v>
      </c>
      <c r="S20" s="24" t="str">
        <f>IF(Input!J85="Tier 4",($B$7-S17-S18-S19),IF(Input!J85="Tier 5",IF(('Residential Bills_Yr 1_6 Units'!$B$7-'Residential Bills_Yr 1_6 Units'!S17-'Residential Bills_Yr 1_6 Units'!S18-'Residential Bills_Yr 1_6 Units'!S19)&gt;Input!J90,Input!J90,('Residential Bills_Yr 1_6 Units'!$B$7-'Residential Bills_Yr 1_6 Units'!S17-'Residential Bills_Yr 1_6 Units'!S18-'Residential Bills_Yr 1_6 Units'!S19))," "))</f>
        <v xml:space="preserve"> </v>
      </c>
      <c r="T20" s="25" t="str">
        <f t="shared" ref="T20:T21" si="4">IFERROR(R20*S20," ")</f>
        <v xml:space="preserve"> </v>
      </c>
      <c r="V20" s="23">
        <f>INDEX(Input!$C$21:$AL$25,MATCH('Residential Bills_Yr 1_6 Units'!$A20,Input!$A$21:$A$25,0),MATCH('Residential Bills_Yr 1_6 Units'!V$13,Input!$C$20:$AL$20,0))</f>
        <v>0</v>
      </c>
      <c r="W20" s="24" t="str">
        <f>IF(Input!K85="Tier 4",($B$7-W17-W18-W19),IF(Input!K85="Tier 5",IF(('Residential Bills_Yr 1_6 Units'!$B$7-'Residential Bills_Yr 1_6 Units'!W17-'Residential Bills_Yr 1_6 Units'!W18-'Residential Bills_Yr 1_6 Units'!W19)&gt;Input!K90,Input!K90,('Residential Bills_Yr 1_6 Units'!$B$7-'Residential Bills_Yr 1_6 Units'!W17-'Residential Bills_Yr 1_6 Units'!W18-'Residential Bills_Yr 1_6 Units'!W19))," "))</f>
        <v xml:space="preserve"> </v>
      </c>
      <c r="X20" s="25" t="str">
        <f t="shared" ref="X20:X21" si="5">IFERROR(V20*W20," ")</f>
        <v xml:space="preserve"> </v>
      </c>
      <c r="Z20" s="23">
        <f>INDEX(Input!$C$21:$AL$25,MATCH('Residential Bills_Yr 1_6 Units'!$A20,Input!$A$21:$A$25,0),MATCH('Residential Bills_Yr 1_6 Units'!Z$13,Input!$C$20:$AL$20,0))</f>
        <v>0</v>
      </c>
      <c r="AA20" s="24" t="str">
        <f>IF(Input!L85="Tier 4",($B$7-AA17-AA18-AA19),IF(Input!L85="Tier 5",IF(('Residential Bills_Yr 1_6 Units'!$B$7-'Residential Bills_Yr 1_6 Units'!AA17-'Residential Bills_Yr 1_6 Units'!AA18-'Residential Bills_Yr 1_6 Units'!AA19)&gt;Input!L90,Input!L90,('Residential Bills_Yr 1_6 Units'!$B$7-'Residential Bills_Yr 1_6 Units'!AA17-'Residential Bills_Yr 1_6 Units'!AA18-'Residential Bills_Yr 1_6 Units'!AA19))," "))</f>
        <v xml:space="preserve"> </v>
      </c>
      <c r="AB20" s="25" t="str">
        <f t="shared" ref="AB20:AB21" si="6">IFERROR(Z20*AA20," ")</f>
        <v xml:space="preserve"> </v>
      </c>
      <c r="AD20" s="23">
        <f>INDEX(Input!$C$21:$AL$25,MATCH('Residential Bills_Yr 1_6 Units'!$A20,Input!$A$21:$A$25,0),MATCH('Residential Bills_Yr 1_6 Units'!AD$13,Input!$C$20:$AL$20,0))</f>
        <v>0</v>
      </c>
      <c r="AE20" s="24" t="str">
        <f>IF(Input!M85="Tier 4",($B$7-AE17-AE18-AE19),IF(Input!M85="Tier 5",IF(('Residential Bills_Yr 1_6 Units'!$B$7-'Residential Bills_Yr 1_6 Units'!AE17-'Residential Bills_Yr 1_6 Units'!AE18-'Residential Bills_Yr 1_6 Units'!AE19)&gt;Input!M90,Input!M90,('Residential Bills_Yr 1_6 Units'!$B$7-'Residential Bills_Yr 1_6 Units'!AE17-'Residential Bills_Yr 1_6 Units'!AE18-'Residential Bills_Yr 1_6 Units'!AE19))," "))</f>
        <v xml:space="preserve"> </v>
      </c>
      <c r="AF20" s="25" t="str">
        <f t="shared" ref="AF20:AF21" si="7">IFERROR(AD20*AE20," ")</f>
        <v xml:space="preserve"> </v>
      </c>
      <c r="AH20" s="23">
        <f>INDEX(Input!$C$21:$AL$25,MATCH('Residential Bills_Yr 1_6 Units'!$A20,Input!$A$21:$A$25,0),MATCH('Residential Bills_Yr 1_6 Units'!AH$13,Input!$C$20:$AL$20,0))</f>
        <v>0</v>
      </c>
      <c r="AI20" s="24" t="str">
        <f>IF(Input!N85="Tier 4",($B$7-AI17-AI18-AI19),IF(Input!N85="Tier 5",IF(('Residential Bills_Yr 1_6 Units'!$B$7-'Residential Bills_Yr 1_6 Units'!AI17-'Residential Bills_Yr 1_6 Units'!AI18-'Residential Bills_Yr 1_6 Units'!AI19)&gt;Input!N90,Input!N90,('Residential Bills_Yr 1_6 Units'!$B$7-'Residential Bills_Yr 1_6 Units'!AI17-'Residential Bills_Yr 1_6 Units'!AI18-'Residential Bills_Yr 1_6 Units'!AI19))," "))</f>
        <v xml:space="preserve"> </v>
      </c>
      <c r="AJ20" s="25" t="str">
        <f t="shared" ref="AJ20:AJ21" si="8">IFERROR(AH20*AI20," ")</f>
        <v xml:space="preserve"> </v>
      </c>
      <c r="AL20" s="23">
        <f>INDEX(Input!$C$21:$AL$25,MATCH('Residential Bills_Yr 1_6 Units'!$A20,Input!$A$21:$A$25,0),MATCH('Residential Bills_Yr 1_6 Units'!AL$13,Input!$C$20:$AL$20,0))</f>
        <v>0</v>
      </c>
      <c r="AM20" s="24" t="str">
        <f>IF(Input!O85="Tier 4",($B$7-AM17-AM18-AM19),IF(Input!O85="Tier 5",IF(('Residential Bills_Yr 1_6 Units'!$B$7-'Residential Bills_Yr 1_6 Units'!AM17-'Residential Bills_Yr 1_6 Units'!AM18-'Residential Bills_Yr 1_6 Units'!AM19)&gt;Input!O90,Input!O90,('Residential Bills_Yr 1_6 Units'!$B$7-'Residential Bills_Yr 1_6 Units'!AM17-'Residential Bills_Yr 1_6 Units'!AM18-'Residential Bills_Yr 1_6 Units'!AM19))," "))</f>
        <v xml:space="preserve"> </v>
      </c>
      <c r="AN20" s="25" t="str">
        <f t="shared" ref="AN20:AN21" si="9">IFERROR(AL20*AM20," ")</f>
        <v xml:space="preserve"> </v>
      </c>
      <c r="AP20" s="23">
        <f>INDEX(Input!$C$21:$AL$25,MATCH('Residential Bills_Yr 1_6 Units'!$A20,Input!$A$21:$A$25,0),MATCH('Residential Bills_Yr 1_6 Units'!AP$13,Input!$C$20:$AL$20,0))</f>
        <v>0</v>
      </c>
      <c r="AQ20" s="24" t="str">
        <f>IF(Input!P85="Tier 4",($B$7-AQ17-AQ18-AQ19),IF(Input!P85="Tier 5",IF(('Residential Bills_Yr 1_6 Units'!$B$7-'Residential Bills_Yr 1_6 Units'!AQ17-'Residential Bills_Yr 1_6 Units'!AQ18-'Residential Bills_Yr 1_6 Units'!AQ19)&gt;Input!P90,Input!P90,('Residential Bills_Yr 1_6 Units'!$B$7-'Residential Bills_Yr 1_6 Units'!AQ17-'Residential Bills_Yr 1_6 Units'!AQ18-'Residential Bills_Yr 1_6 Units'!AQ19))," "))</f>
        <v xml:space="preserve"> </v>
      </c>
      <c r="AR20" s="25" t="str">
        <f t="shared" ref="AR20:AR21" si="10">IFERROR(AP20*AQ20," ")</f>
        <v xml:space="preserve"> </v>
      </c>
      <c r="AS20" s="30"/>
      <c r="AT20" s="23">
        <f>INDEX(Input!$C$21:$AL$25,MATCH('Residential Bills_Yr 1_6 Units'!$A20,Input!$A$21:$A$25,0),MATCH('Residential Bills_Yr 1_6 Units'!AT$13,Input!$C$20:$AL$20,0))</f>
        <v>0</v>
      </c>
      <c r="AU20" s="24" t="str">
        <f>IF(Input!Q85="Tier 4",($B$7-AU17-AU18-AU19),IF(Input!Q85="Tier 5",IF(('Residential Bills_Yr 1_6 Units'!$B$7-'Residential Bills_Yr 1_6 Units'!AU17-'Residential Bills_Yr 1_6 Units'!AU18-'Residential Bills_Yr 1_6 Units'!AU19)&gt;Input!Q90,Input!Q90,('Residential Bills_Yr 1_6 Units'!$B$7-'Residential Bills_Yr 1_6 Units'!AU17-'Residential Bills_Yr 1_6 Units'!AU18-'Residential Bills_Yr 1_6 Units'!AU19))," "))</f>
        <v xml:space="preserve"> </v>
      </c>
      <c r="AV20" s="25" t="str">
        <f t="shared" ref="AV20:AV21" si="11">IFERROR(AT20*AU20," ")</f>
        <v xml:space="preserve"> </v>
      </c>
    </row>
    <row r="21" spans="1:48" ht="14.5" hidden="1" customHeight="1" x14ac:dyDescent="0.55000000000000004">
      <c r="A21" t="str">
        <f>Input!A25</f>
        <v>Tier 5</v>
      </c>
      <c r="B21" s="23">
        <f>INDEX(Input!$C$21:$AL$25,MATCH('Residential Bills_Yr 1_6 Units'!$A21,Input!$A$21:$A$25,0),MATCH('Residential Bills_Yr 1_6 Units'!B$13,Input!$C$20:$AL$20,0))</f>
        <v>0</v>
      </c>
      <c r="C21" s="24" t="str">
        <f>IF(Input!F85="Tier 5",('Residential Bills_Yr 1_6 Units'!$B$7-'Residential Bills_Yr 1_6 Units'!C17-'Residential Bills_Yr 1_6 Units'!C18-'Residential Bills_Yr 1_6 Units'!C19-'Residential Bills_Yr 1_6 Units'!C20)," ")</f>
        <v xml:space="preserve"> </v>
      </c>
      <c r="D21" s="25" t="str">
        <f t="shared" si="0"/>
        <v xml:space="preserve"> </v>
      </c>
      <c r="F21" s="23">
        <f>INDEX(Input!$C$21:$AL$25,MATCH('Residential Bills_Yr 1_6 Units'!$A21,Input!$A$21:$A$25,0),MATCH('Residential Bills_Yr 1_6 Units'!F$13,Input!$C$20:$AL$20,0))</f>
        <v>0</v>
      </c>
      <c r="G21" s="24" t="str">
        <f>IF(Input!G85="Tier 5",('Residential Bills_Yr 1_6 Units'!$B$7-'Residential Bills_Yr 1_6 Units'!G17-'Residential Bills_Yr 1_6 Units'!G18-'Residential Bills_Yr 1_6 Units'!G19-'Residential Bills_Yr 1_6 Units'!G20)," ")</f>
        <v xml:space="preserve"> </v>
      </c>
      <c r="H21" s="25" t="str">
        <f t="shared" si="1"/>
        <v xml:space="preserve"> </v>
      </c>
      <c r="J21" s="23">
        <f>INDEX(Input!$C$21:$AL$25,MATCH('Residential Bills_Yr 1_6 Units'!$A21,Input!$A$21:$A$25,0),MATCH('Residential Bills_Yr 1_6 Units'!J$13,Input!$C$20:$AL$20,0))</f>
        <v>0</v>
      </c>
      <c r="K21" s="24" t="str">
        <f>IF(Input!H85="Tier 5",('Residential Bills_Yr 1_6 Units'!$B$7-'Residential Bills_Yr 1_6 Units'!K$17-'Residential Bills_Yr 1_6 Units'!K$18-'Residential Bills_Yr 1_6 Units'!K$19-'Residential Bills_Yr 1_6 Units'!K$20)," ")</f>
        <v xml:space="preserve"> </v>
      </c>
      <c r="L21" s="25" t="str">
        <f t="shared" si="2"/>
        <v xml:space="preserve"> </v>
      </c>
      <c r="N21" s="23">
        <f>INDEX(Input!$C$21:$AL$25,MATCH('Residential Bills_Yr 1_6 Units'!$A21,Input!$A$21:$A$25,0),MATCH('Residential Bills_Yr 1_6 Units'!N$13,Input!$C$20:$AL$20,0))</f>
        <v>0</v>
      </c>
      <c r="O21" s="24" t="str">
        <f>IF(Input!I85="Tier 5",('Residential Bills_Yr 1_6 Units'!$B$7-'Residential Bills_Yr 1_6 Units'!O$17-'Residential Bills_Yr 1_6 Units'!O$18-'Residential Bills_Yr 1_6 Units'!O$19-'Residential Bills_Yr 1_6 Units'!O$20)," ")</f>
        <v xml:space="preserve"> </v>
      </c>
      <c r="P21" s="25" t="str">
        <f t="shared" si="3"/>
        <v xml:space="preserve"> </v>
      </c>
      <c r="R21" s="23">
        <f>INDEX(Input!$C$21:$AL$25,MATCH('Residential Bills_Yr 1_6 Units'!$A21,Input!$A$21:$A$25,0),MATCH('Residential Bills_Yr 1_6 Units'!R$13,Input!$C$20:$AL$20,0))</f>
        <v>0</v>
      </c>
      <c r="S21" s="24" t="str">
        <f>IF(Input!J85="Tier 5",('Residential Bills_Yr 1_6 Units'!$B$7-'Residential Bills_Yr 1_6 Units'!S$17-'Residential Bills_Yr 1_6 Units'!S$18-'Residential Bills_Yr 1_6 Units'!S$19-'Residential Bills_Yr 1_6 Units'!S$20)," ")</f>
        <v xml:space="preserve"> </v>
      </c>
      <c r="T21" s="25" t="str">
        <f t="shared" si="4"/>
        <v xml:space="preserve"> </v>
      </c>
      <c r="V21" s="23">
        <f>INDEX(Input!$C$21:$AL$25,MATCH('Residential Bills_Yr 1_6 Units'!$A21,Input!$A$21:$A$25,0),MATCH('Residential Bills_Yr 1_6 Units'!V$13,Input!$C$20:$AL$20,0))</f>
        <v>0</v>
      </c>
      <c r="W21" s="24" t="str">
        <f>IF(Input!K85="Tier 5",('Residential Bills_Yr 1_6 Units'!$B$7-'Residential Bills_Yr 1_6 Units'!W$17-'Residential Bills_Yr 1_6 Units'!W$18-'Residential Bills_Yr 1_6 Units'!W$19-'Residential Bills_Yr 1_6 Units'!W$20)," ")</f>
        <v xml:space="preserve"> </v>
      </c>
      <c r="X21" s="25" t="str">
        <f t="shared" si="5"/>
        <v xml:space="preserve"> </v>
      </c>
      <c r="Z21" s="23">
        <f>INDEX(Input!$C$21:$AL$25,MATCH('Residential Bills_Yr 1_6 Units'!$A21,Input!$A$21:$A$25,0),MATCH('Residential Bills_Yr 1_6 Units'!Z$13,Input!$C$20:$AL$20,0))</f>
        <v>0</v>
      </c>
      <c r="AA21" s="24" t="str">
        <f>IF(Input!L85="Tier 5",('Residential Bills_Yr 1_6 Units'!$B$7-'Residential Bills_Yr 1_6 Units'!AA$17-'Residential Bills_Yr 1_6 Units'!AA$18-'Residential Bills_Yr 1_6 Units'!AA$19-'Residential Bills_Yr 1_6 Units'!AA$20)," ")</f>
        <v xml:space="preserve"> </v>
      </c>
      <c r="AB21" s="25" t="str">
        <f t="shared" si="6"/>
        <v xml:space="preserve"> </v>
      </c>
      <c r="AD21" s="23">
        <f>INDEX(Input!$C$21:$AL$25,MATCH('Residential Bills_Yr 1_6 Units'!$A21,Input!$A$21:$A$25,0),MATCH('Residential Bills_Yr 1_6 Units'!AD$13,Input!$C$20:$AL$20,0))</f>
        <v>0</v>
      </c>
      <c r="AE21" s="24" t="str">
        <f>IF(Input!M85="Tier 5",('Residential Bills_Yr 1_6 Units'!$B$7-'Residential Bills_Yr 1_6 Units'!AE$17-'Residential Bills_Yr 1_6 Units'!AE$18-'Residential Bills_Yr 1_6 Units'!AE$19-'Residential Bills_Yr 1_6 Units'!AE$20)," ")</f>
        <v xml:space="preserve"> </v>
      </c>
      <c r="AF21" s="25" t="str">
        <f t="shared" si="7"/>
        <v xml:space="preserve"> </v>
      </c>
      <c r="AH21" s="23">
        <f>INDEX(Input!$C$21:$AL$25,MATCH('Residential Bills_Yr 1_6 Units'!$A21,Input!$A$21:$A$25,0),MATCH('Residential Bills_Yr 1_6 Units'!AH$13,Input!$C$20:$AL$20,0))</f>
        <v>0</v>
      </c>
      <c r="AI21" s="24" t="str">
        <f>IF(Input!N85="Tier 5",('Residential Bills_Yr 1_6 Units'!$B$7-'Residential Bills_Yr 1_6 Units'!AI$17-'Residential Bills_Yr 1_6 Units'!AI$18-'Residential Bills_Yr 1_6 Units'!AI$19-'Residential Bills_Yr 1_6 Units'!AI$20)," ")</f>
        <v xml:space="preserve"> </v>
      </c>
      <c r="AJ21" s="25" t="str">
        <f t="shared" si="8"/>
        <v xml:space="preserve"> </v>
      </c>
      <c r="AL21" s="23">
        <f>INDEX(Input!$C$21:$AL$25,MATCH('Residential Bills_Yr 1_6 Units'!$A21,Input!$A$21:$A$25,0),MATCH('Residential Bills_Yr 1_6 Units'!AL$13,Input!$C$20:$AL$20,0))</f>
        <v>0</v>
      </c>
      <c r="AM21" s="24" t="str">
        <f>IF(Input!O85="Tier 5",('Residential Bills_Yr 1_6 Units'!$B$7-'Residential Bills_Yr 1_6 Units'!AM$17-'Residential Bills_Yr 1_6 Units'!AM$18-'Residential Bills_Yr 1_6 Units'!AM$19-'Residential Bills_Yr 1_6 Units'!AM$20)," ")</f>
        <v xml:space="preserve"> </v>
      </c>
      <c r="AN21" s="25" t="str">
        <f t="shared" si="9"/>
        <v xml:space="preserve"> </v>
      </c>
      <c r="AP21" s="23">
        <f>INDEX(Input!$C$21:$AL$25,MATCH('Residential Bills_Yr 1_6 Units'!$A21,Input!$A$21:$A$25,0),MATCH('Residential Bills_Yr 1_6 Units'!AP$13,Input!$C$20:$AL$20,0))</f>
        <v>0</v>
      </c>
      <c r="AQ21" s="24" t="str">
        <f>IF(Input!P85="Tier 5",('Residential Bills_Yr 1_6 Units'!$B$7-'Residential Bills_Yr 1_6 Units'!AQ$17-'Residential Bills_Yr 1_6 Units'!AQ$18-'Residential Bills_Yr 1_6 Units'!AQ$19-'Residential Bills_Yr 1_6 Units'!AQ$20)," ")</f>
        <v xml:space="preserve"> </v>
      </c>
      <c r="AR21" s="25" t="str">
        <f t="shared" si="10"/>
        <v xml:space="preserve"> </v>
      </c>
      <c r="AS21" s="30"/>
      <c r="AT21" s="23">
        <f>INDEX(Input!$C$21:$AL$25,MATCH('Residential Bills_Yr 1_6 Units'!$A21,Input!$A$21:$A$25,0),MATCH('Residential Bills_Yr 1_6 Units'!AT$13,Input!$C$20:$AL$20,0))</f>
        <v>0</v>
      </c>
      <c r="AU21" s="24" t="str">
        <f>IF(Input!Q85="Tier 5",('Residential Bills_Yr 1_6 Units'!$B$7-'Residential Bills_Yr 1_6 Units'!AU$17-'Residential Bills_Yr 1_6 Units'!AU$18-'Residential Bills_Yr 1_6 Units'!AU$19-'Residential Bills_Yr 1_6 Units'!AU$20)," ")</f>
        <v xml:space="preserve"> </v>
      </c>
      <c r="AV21" s="25" t="str">
        <f t="shared" si="11"/>
        <v xml:space="preserve"> </v>
      </c>
    </row>
    <row r="22" spans="1:48" x14ac:dyDescent="0.55000000000000004">
      <c r="A22" t="s">
        <v>39</v>
      </c>
      <c r="B22" s="16"/>
      <c r="C22" s="24">
        <f>SUM(C17:C21)</f>
        <v>6</v>
      </c>
      <c r="D22" s="26">
        <f>SUM(D17:D21)+D14</f>
        <v>69.3</v>
      </c>
      <c r="F22" s="16"/>
      <c r="G22" s="24">
        <f>SUM(G17:G21)</f>
        <v>6</v>
      </c>
      <c r="H22" s="26">
        <f>SUM(H17:H21)+H14</f>
        <v>69.3</v>
      </c>
      <c r="J22" s="16"/>
      <c r="K22" s="24">
        <f>SUM(K17:K21)</f>
        <v>6</v>
      </c>
      <c r="L22" s="26">
        <f>SUM(L17:L21)+L14</f>
        <v>69.3</v>
      </c>
      <c r="N22" s="16"/>
      <c r="O22" s="24">
        <f>SUM(O17:O21)</f>
        <v>6</v>
      </c>
      <c r="P22" s="26">
        <f>SUM(P17:P21)+P14</f>
        <v>69.3</v>
      </c>
      <c r="R22" s="16"/>
      <c r="S22" s="24">
        <f>SUM(S17:S21)</f>
        <v>6</v>
      </c>
      <c r="T22" s="26">
        <f>SUM(T17:T21)+T14</f>
        <v>69.3</v>
      </c>
      <c r="V22" s="16"/>
      <c r="W22" s="24">
        <f>SUM(W17:W21)</f>
        <v>6</v>
      </c>
      <c r="X22" s="26">
        <f>SUM(X17:X21)+X14</f>
        <v>69.3</v>
      </c>
      <c r="Z22" s="16"/>
      <c r="AA22" s="24">
        <f>SUM(AA17:AA21)</f>
        <v>6</v>
      </c>
      <c r="AB22" s="26">
        <f>SUM(AB17:AB21)+AB14</f>
        <v>72.42</v>
      </c>
      <c r="AD22" s="16"/>
      <c r="AE22" s="24">
        <f>SUM(AE17:AE21)</f>
        <v>6</v>
      </c>
      <c r="AF22" s="26">
        <f>SUM(AF17:AF21)+AF14</f>
        <v>72.42</v>
      </c>
      <c r="AH22" s="16"/>
      <c r="AI22" s="24">
        <f>SUM(AI17:AI21)</f>
        <v>6</v>
      </c>
      <c r="AJ22" s="26">
        <f>SUM(AJ17:AJ21)+AJ14</f>
        <v>72.42</v>
      </c>
      <c r="AL22" s="16"/>
      <c r="AM22" s="24">
        <f>SUM(AM17:AM21)</f>
        <v>6</v>
      </c>
      <c r="AN22" s="26">
        <f>SUM(AN17:AN21)+AN14</f>
        <v>72.42</v>
      </c>
      <c r="AP22" s="16"/>
      <c r="AQ22" s="24">
        <f>SUM(AQ17:AQ21)</f>
        <v>6</v>
      </c>
      <c r="AR22" s="26">
        <f>SUM(AR17:AR21)+AR14</f>
        <v>74.88</v>
      </c>
      <c r="AS22" s="64"/>
      <c r="AT22" s="16"/>
      <c r="AU22" s="24">
        <f>SUM(AU17:AU21)</f>
        <v>6</v>
      </c>
      <c r="AV22" s="26">
        <f>SUM(AV17:AV21)+AV14</f>
        <v>74.88</v>
      </c>
    </row>
    <row r="23" spans="1:48" x14ac:dyDescent="0.55000000000000004">
      <c r="B23" s="16"/>
      <c r="C23" s="17"/>
      <c r="D23" s="19"/>
      <c r="F23" s="16"/>
      <c r="G23" s="17"/>
      <c r="H23" s="19"/>
      <c r="J23" s="16"/>
      <c r="K23" s="17"/>
      <c r="L23" s="19"/>
      <c r="N23" s="16"/>
      <c r="O23" s="17"/>
      <c r="P23" s="19"/>
      <c r="R23" s="16"/>
      <c r="S23" s="17"/>
      <c r="T23" s="19"/>
      <c r="V23" s="16"/>
      <c r="W23" s="17"/>
      <c r="X23" s="19"/>
      <c r="Z23" s="16"/>
      <c r="AA23" s="17"/>
      <c r="AB23" s="19"/>
      <c r="AD23" s="16"/>
      <c r="AE23" s="17"/>
      <c r="AF23" s="19"/>
      <c r="AH23" s="16"/>
      <c r="AI23" s="17"/>
      <c r="AJ23" s="19"/>
      <c r="AL23" s="16"/>
      <c r="AM23" s="17"/>
      <c r="AN23" s="19"/>
      <c r="AP23" s="16"/>
      <c r="AQ23" s="17"/>
      <c r="AR23" s="19"/>
      <c r="AS23" s="17"/>
      <c r="AT23" s="16"/>
      <c r="AU23" s="17"/>
      <c r="AV23" s="19"/>
    </row>
    <row r="24" spans="1:48" x14ac:dyDescent="0.55000000000000004">
      <c r="A24" s="1" t="s">
        <v>34</v>
      </c>
      <c r="B24" s="20" t="s">
        <v>29</v>
      </c>
      <c r="C24" s="21" t="s">
        <v>44</v>
      </c>
      <c r="D24" s="22" t="s">
        <v>30</v>
      </c>
      <c r="F24" s="20" t="s">
        <v>29</v>
      </c>
      <c r="G24" s="21" t="s">
        <v>44</v>
      </c>
      <c r="H24" s="111" t="s">
        <v>30</v>
      </c>
      <c r="J24" s="20" t="s">
        <v>29</v>
      </c>
      <c r="K24" s="21" t="s">
        <v>44</v>
      </c>
      <c r="L24" s="111" t="s">
        <v>30</v>
      </c>
      <c r="N24" s="20" t="s">
        <v>29</v>
      </c>
      <c r="O24" s="21" t="s">
        <v>44</v>
      </c>
      <c r="P24" s="111" t="s">
        <v>30</v>
      </c>
      <c r="R24" s="20" t="s">
        <v>29</v>
      </c>
      <c r="S24" s="21" t="s">
        <v>44</v>
      </c>
      <c r="T24" s="111" t="s">
        <v>30</v>
      </c>
      <c r="V24" s="20" t="s">
        <v>29</v>
      </c>
      <c r="W24" s="21" t="s">
        <v>44</v>
      </c>
      <c r="X24" s="111" t="s">
        <v>30</v>
      </c>
      <c r="Z24" s="20" t="s">
        <v>29</v>
      </c>
      <c r="AA24" s="21" t="s">
        <v>44</v>
      </c>
      <c r="AB24" s="111" t="s">
        <v>30</v>
      </c>
      <c r="AD24" s="20" t="s">
        <v>29</v>
      </c>
      <c r="AE24" s="21" t="s">
        <v>44</v>
      </c>
      <c r="AF24" s="111" t="s">
        <v>30</v>
      </c>
      <c r="AH24" s="20" t="s">
        <v>29</v>
      </c>
      <c r="AI24" s="21" t="s">
        <v>44</v>
      </c>
      <c r="AJ24" s="111" t="s">
        <v>30</v>
      </c>
      <c r="AL24" s="20" t="s">
        <v>29</v>
      </c>
      <c r="AM24" s="21" t="s">
        <v>44</v>
      </c>
      <c r="AN24" s="111" t="s">
        <v>30</v>
      </c>
      <c r="AP24" s="20" t="s">
        <v>29</v>
      </c>
      <c r="AQ24" s="21" t="s">
        <v>44</v>
      </c>
      <c r="AR24" s="111" t="s">
        <v>30</v>
      </c>
      <c r="AS24" s="170"/>
      <c r="AT24" s="20" t="s">
        <v>29</v>
      </c>
      <c r="AU24" s="21" t="s">
        <v>44</v>
      </c>
      <c r="AV24" s="111" t="s">
        <v>30</v>
      </c>
    </row>
    <row r="25" spans="1:48" x14ac:dyDescent="0.55000000000000004">
      <c r="A25" t="str">
        <f>IF($B$9="No",Input!A46,"CAP Discount")</f>
        <v>SRF 1</v>
      </c>
      <c r="B25" s="173">
        <f>INDEX(Input!$C$46:$AM$58,MATCH($A25,Input!$A$46:$A$58,0),MATCH(B$13,Input!$C$45:$AM$45,0))</f>
        <v>0.04</v>
      </c>
      <c r="C25" s="31" t="str">
        <f>IF(VLOOKUP($A25,Input!$A$46:$B$58,2,FALSE)="Percentage",D$22,IF(VLOOKUP($A25,Input!$A$46:$B$58,2,FALSE)="Fixed","Fixed",(C$22)))</f>
        <v>Fixed</v>
      </c>
      <c r="D25" s="25">
        <f t="shared" ref="D25:D37" si="12">ROUND(IF(C25="Fixed",B25,(B25*C25)),2)</f>
        <v>0.04</v>
      </c>
      <c r="F25" s="173">
        <f>INDEX(Input!$C$46:$AM$58,MATCH($A25,Input!$A$46:$A$58,0),MATCH(F$13,Input!$C$45:$AM$45,0))</f>
        <v>0.04</v>
      </c>
      <c r="G25" s="31" t="str">
        <f>IF(VLOOKUP($A25,Input!$A$46:$B$58,2,FALSE)="Percentage",H$22,IF(VLOOKUP($A25,Input!$A$46:$B$58,2,FALSE)="Fixed","Fixed",(G$22)))</f>
        <v>Fixed</v>
      </c>
      <c r="H25" s="25">
        <f t="shared" ref="H25:H37" si="13">ROUND(IF(G25="Fixed",F25,(F25*G25)),2)</f>
        <v>0.04</v>
      </c>
      <c r="J25" s="173">
        <f>INDEX(Input!$C$46:$AM$58,MATCH($A25,Input!$A$46:$A$58,0),MATCH(J$13,Input!$C$45:$AM$45,0))</f>
        <v>0.04</v>
      </c>
      <c r="K25" s="31" t="str">
        <f>IF(VLOOKUP($A25,Input!$A$46:$B$58,2,FALSE)="Percentage",L$22,IF(VLOOKUP($A25,Input!$A$46:$B$58,2,FALSE)="Fixed","Fixed",(K$22)))</f>
        <v>Fixed</v>
      </c>
      <c r="L25" s="25">
        <f t="shared" ref="L25:L37" si="14">ROUND(IF(K25="Fixed",J25,(J25*K25)),2)</f>
        <v>0.04</v>
      </c>
      <c r="N25" s="173">
        <f>INDEX(Input!$C$46:$AM$58,MATCH($A25,Input!$A$46:$A$58,0),MATCH(N$13,Input!$C$45:$AM$45,0))</f>
        <v>0.04</v>
      </c>
      <c r="O25" s="31" t="str">
        <f>IF(VLOOKUP($A25,Input!$A$46:$B$58,2,FALSE)="Percentage",P$22,IF(VLOOKUP($A25,Input!$A$46:$B$58,2,FALSE)="Fixed","Fixed",(O$22)))</f>
        <v>Fixed</v>
      </c>
      <c r="P25" s="25">
        <f t="shared" ref="P25:P37" si="15">ROUND(IF(O25="Fixed",N25,(N25*O25)),2)</f>
        <v>0.04</v>
      </c>
      <c r="R25" s="173">
        <f>INDEX(Input!$C$46:$AM$58,MATCH($A25,Input!$A$46:$A$58,0),MATCH(R$13,Input!$C$45:$AM$45,0))</f>
        <v>0.04</v>
      </c>
      <c r="S25" s="31" t="str">
        <f>IF(VLOOKUP($A25,Input!$A$46:$B$58,2,FALSE)="Percentage",T$22,IF(VLOOKUP($A25,Input!$A$46:$B$58,2,FALSE)="Fixed","Fixed",(S$22)))</f>
        <v>Fixed</v>
      </c>
      <c r="T25" s="25">
        <f t="shared" ref="T25:T37" si="16">ROUND(IF(S25="Fixed",R25,(R25*S25)),2)</f>
        <v>0.04</v>
      </c>
      <c r="V25" s="173">
        <f>INDEX(Input!$C$46:$AM$58,MATCH($A25,Input!$A$46:$A$58,0),MATCH(V$13,Input!$C$45:$AM$45,0))</f>
        <v>0.04</v>
      </c>
      <c r="W25" s="31" t="str">
        <f>IF(VLOOKUP($A25,Input!$A$46:$B$58,2,FALSE)="Percentage",X$22,IF(VLOOKUP($A25,Input!$A$46:$B$58,2,FALSE)="Fixed","Fixed",(W$22)))</f>
        <v>Fixed</v>
      </c>
      <c r="X25" s="25">
        <f t="shared" ref="X25:X37" si="17">ROUND(IF(W25="Fixed",V25,(V25*W25)),2)</f>
        <v>0.04</v>
      </c>
      <c r="Z25" s="173">
        <f>INDEX(Input!$C$46:$AM$58,MATCH($A25,Input!$A$46:$A$58,0),MATCH(Z$13,Input!$C$45:$AM$45,0))</f>
        <v>0.04</v>
      </c>
      <c r="AA25" s="31" t="str">
        <f>IF(VLOOKUP($A25,Input!$A$46:$B$58,2,FALSE)="Percentage",AB$22,IF(VLOOKUP($A25,Input!$A$46:$B$58,2,FALSE)="Fixed","Fixed",(AA$22)))</f>
        <v>Fixed</v>
      </c>
      <c r="AB25" s="25">
        <f t="shared" ref="AB25:AB37" si="18">ROUND(IF(AA25="Fixed",Z25,(Z25*AA25)),2)</f>
        <v>0.04</v>
      </c>
      <c r="AD25" s="173">
        <f>INDEX(Input!$C$46:$AM$58,MATCH($A25,Input!$A$46:$A$58,0),MATCH(AD$13,Input!$C$45:$AM$45,0))</f>
        <v>0.04</v>
      </c>
      <c r="AE25" s="31" t="str">
        <f>IF(VLOOKUP($A25,Input!$A$46:$B$58,2,FALSE)="Percentage",AF$22,IF(VLOOKUP($A25,Input!$A$46:$B$58,2,FALSE)="Fixed","Fixed",(AE$22)))</f>
        <v>Fixed</v>
      </c>
      <c r="AF25" s="25">
        <f t="shared" ref="AF25:AF37" si="19">ROUND(IF(AE25="Fixed",AD25,(AD25*AE25)),2)</f>
        <v>0.04</v>
      </c>
      <c r="AH25" s="173">
        <f>INDEX(Input!$C$46:$AM$58,MATCH($A25,Input!$A$46:$A$58,0),MATCH(AH$13,Input!$C$45:$AM$45,0))</f>
        <v>0.04</v>
      </c>
      <c r="AI25" s="31" t="str">
        <f>IF(VLOOKUP($A25,Input!$A$46:$B$58,2,FALSE)="Percentage",AJ$22,IF(VLOOKUP($A25,Input!$A$46:$B$58,2,FALSE)="Fixed","Fixed",(AI$22)))</f>
        <v>Fixed</v>
      </c>
      <c r="AJ25" s="25">
        <f t="shared" ref="AJ25:AJ37" si="20">ROUND(IF(AI25="Fixed",AH25,(AH25*AI25)),2)</f>
        <v>0.04</v>
      </c>
      <c r="AL25" s="173">
        <f>INDEX(Input!$C$46:$AM$58,MATCH($A25,Input!$A$46:$A$58,0),MATCH(AL$13,Input!$C$45:$AM$45,0))</f>
        <v>0.04</v>
      </c>
      <c r="AM25" s="31" t="str">
        <f>IF(VLOOKUP($A25,Input!$A$46:$B$58,2,FALSE)="Percentage",AN$22,IF(VLOOKUP($A25,Input!$A$46:$B$58,2,FALSE)="Fixed","Fixed",(AM$22)))</f>
        <v>Fixed</v>
      </c>
      <c r="AN25" s="25">
        <f t="shared" ref="AN25:AN37" si="21">ROUND(IF(AM25="Fixed",AL25,(AL25*AM25)),2)</f>
        <v>0.04</v>
      </c>
      <c r="AP25" s="173">
        <f>INDEX(Input!$C$46:$AM$58,MATCH($A25,Input!$A$46:$A$58,0),MATCH(AP$13,Input!$C$45:$AM$45,0))</f>
        <v>0.04</v>
      </c>
      <c r="AQ25" s="31" t="str">
        <f>IF(VLOOKUP($A25,Input!$A$46:$B$58,2,FALSE)="Percentage",AR$22,IF(VLOOKUP($A25,Input!$A$46:$B$58,2,FALSE)="Fixed","Fixed",(AQ$22)))</f>
        <v>Fixed</v>
      </c>
      <c r="AR25" s="25">
        <f t="shared" ref="AR25:AR37" si="22">ROUND(IF(AQ25="Fixed",AP25,(AP25*AQ25)),2)</f>
        <v>0.04</v>
      </c>
      <c r="AS25" s="30"/>
      <c r="AT25" s="173">
        <f>INDEX(Input!$C$46:$AM$58,MATCH($A25,Input!$A$46:$A$58,0),MATCH(AT$13,Input!$C$45:$AM$45,0))</f>
        <v>0.04</v>
      </c>
      <c r="AU25" s="31" t="str">
        <f>IF(VLOOKUP($A25,Input!$A$46:$B$58,2,FALSE)="Percentage",AV$22,IF(VLOOKUP($A25,Input!$A$46:$B$58,2,FALSE)="Fixed","Fixed",(AU$22)))</f>
        <v>Fixed</v>
      </c>
      <c r="AV25" s="25">
        <f t="shared" ref="AV25:AV37" si="23">ROUND(IF(AU25="Fixed",AT25,(AT25*AU25)),2)</f>
        <v>0.04</v>
      </c>
    </row>
    <row r="26" spans="1:48" x14ac:dyDescent="0.55000000000000004">
      <c r="A26" t="str">
        <f>Input!A47</f>
        <v>SRF 2</v>
      </c>
      <c r="B26" s="173">
        <f>INDEX(Input!$C$46:$AM$58,MATCH($A26,Input!$A$46:$A$58,0),MATCH(B$13,Input!$C$45:$AM$45,0))</f>
        <v>0.02</v>
      </c>
      <c r="C26" s="31" t="str">
        <f>IF(VLOOKUP($A26,Input!$A$46:$B$58,2,FALSE)="Percentage",D$22,IF(VLOOKUP($A26,Input!$A$46:$B$58,2,FALSE)="Fixed","Fixed",(C$22)))</f>
        <v>Fixed</v>
      </c>
      <c r="D26" s="25">
        <f t="shared" si="12"/>
        <v>0.02</v>
      </c>
      <c r="F26" s="173">
        <f>INDEX(Input!$C$46:$AM$58,MATCH($A26,Input!$A$46:$A$58,0),MATCH(F$13,Input!$C$45:$AM$45,0))</f>
        <v>0.02</v>
      </c>
      <c r="G26" s="31" t="str">
        <f>IF(VLOOKUP($A26,Input!$A$46:$B$58,2,FALSE)="Percentage",H$22,IF(VLOOKUP($A26,Input!$A$46:$B$58,2,FALSE)="Fixed","Fixed",(G$22)))</f>
        <v>Fixed</v>
      </c>
      <c r="H26" s="25">
        <f t="shared" si="13"/>
        <v>0.02</v>
      </c>
      <c r="J26" s="173">
        <f>INDEX(Input!$C$46:$AM$58,MATCH($A26,Input!$A$46:$A$58,0),MATCH(J$13,Input!$C$45:$AM$45,0))</f>
        <v>0.02</v>
      </c>
      <c r="K26" s="31" t="str">
        <f>IF(VLOOKUP($A26,Input!$A$46:$B$58,2,FALSE)="Percentage",L$22,IF(VLOOKUP($A26,Input!$A$46:$B$58,2,FALSE)="Fixed","Fixed",(K$22)))</f>
        <v>Fixed</v>
      </c>
      <c r="L26" s="25">
        <f t="shared" si="14"/>
        <v>0.02</v>
      </c>
      <c r="N26" s="173">
        <f>INDEX(Input!$C$46:$AM$58,MATCH($A26,Input!$A$46:$A$58,0),MATCH(N$13,Input!$C$45:$AM$45,0))</f>
        <v>0.02</v>
      </c>
      <c r="O26" s="31" t="str">
        <f>IF(VLOOKUP($A26,Input!$A$46:$B$58,2,FALSE)="Percentage",P$22,IF(VLOOKUP($A26,Input!$A$46:$B$58,2,FALSE)="Fixed","Fixed",(O$22)))</f>
        <v>Fixed</v>
      </c>
      <c r="P26" s="25">
        <f t="shared" si="15"/>
        <v>0.02</v>
      </c>
      <c r="R26" s="173">
        <f>INDEX(Input!$C$46:$AM$58,MATCH($A26,Input!$A$46:$A$58,0),MATCH(R$13,Input!$C$45:$AM$45,0))</f>
        <v>0.02</v>
      </c>
      <c r="S26" s="31" t="str">
        <f>IF(VLOOKUP($A26,Input!$A$46:$B$58,2,FALSE)="Percentage",T$22,IF(VLOOKUP($A26,Input!$A$46:$B$58,2,FALSE)="Fixed","Fixed",(S$22)))</f>
        <v>Fixed</v>
      </c>
      <c r="T26" s="25">
        <f t="shared" si="16"/>
        <v>0.02</v>
      </c>
      <c r="V26" s="173">
        <f>INDEX(Input!$C$46:$AM$58,MATCH($A26,Input!$A$46:$A$58,0),MATCH(V$13,Input!$C$45:$AM$45,0))</f>
        <v>0.02</v>
      </c>
      <c r="W26" s="31" t="str">
        <f>IF(VLOOKUP($A26,Input!$A$46:$B$58,2,FALSE)="Percentage",X$22,IF(VLOOKUP($A26,Input!$A$46:$B$58,2,FALSE)="Fixed","Fixed",(W$22)))</f>
        <v>Fixed</v>
      </c>
      <c r="X26" s="25">
        <f t="shared" si="17"/>
        <v>0.02</v>
      </c>
      <c r="Z26" s="173">
        <f>INDEX(Input!$C$46:$AM$58,MATCH($A26,Input!$A$46:$A$58,0),MATCH(Z$13,Input!$C$45:$AM$45,0))</f>
        <v>0.02</v>
      </c>
      <c r="AA26" s="31" t="str">
        <f>IF(VLOOKUP($A26,Input!$A$46:$B$58,2,FALSE)="Percentage",AB$22,IF(VLOOKUP($A26,Input!$A$46:$B$58,2,FALSE)="Fixed","Fixed",(AA$22)))</f>
        <v>Fixed</v>
      </c>
      <c r="AB26" s="25">
        <f t="shared" si="18"/>
        <v>0.02</v>
      </c>
      <c r="AD26" s="173">
        <f>INDEX(Input!$C$46:$AM$58,MATCH($A26,Input!$A$46:$A$58,0),MATCH(AD$13,Input!$C$45:$AM$45,0))</f>
        <v>0.02</v>
      </c>
      <c r="AE26" s="31" t="str">
        <f>IF(VLOOKUP($A26,Input!$A$46:$B$58,2,FALSE)="Percentage",AF$22,IF(VLOOKUP($A26,Input!$A$46:$B$58,2,FALSE)="Fixed","Fixed",(AE$22)))</f>
        <v>Fixed</v>
      </c>
      <c r="AF26" s="25">
        <f t="shared" si="19"/>
        <v>0.02</v>
      </c>
      <c r="AH26" s="173">
        <f>INDEX(Input!$C$46:$AM$58,MATCH($A26,Input!$A$46:$A$58,0),MATCH(AH$13,Input!$C$45:$AM$45,0))</f>
        <v>0.02</v>
      </c>
      <c r="AI26" s="31" t="str">
        <f>IF(VLOOKUP($A26,Input!$A$46:$B$58,2,FALSE)="Percentage",AJ$22,IF(VLOOKUP($A26,Input!$A$46:$B$58,2,FALSE)="Fixed","Fixed",(AI$22)))</f>
        <v>Fixed</v>
      </c>
      <c r="AJ26" s="25">
        <f t="shared" si="20"/>
        <v>0.02</v>
      </c>
      <c r="AL26" s="173">
        <f>INDEX(Input!$C$46:$AM$58,MATCH($A26,Input!$A$46:$A$58,0),MATCH(AL$13,Input!$C$45:$AM$45,0))</f>
        <v>0.02</v>
      </c>
      <c r="AM26" s="31" t="str">
        <f>IF(VLOOKUP($A26,Input!$A$46:$B$58,2,FALSE)="Percentage",AN$22,IF(VLOOKUP($A26,Input!$A$46:$B$58,2,FALSE)="Fixed","Fixed",(AM$22)))</f>
        <v>Fixed</v>
      </c>
      <c r="AN26" s="25">
        <f t="shared" si="21"/>
        <v>0.02</v>
      </c>
      <c r="AP26" s="173">
        <f>INDEX(Input!$C$46:$AM$58,MATCH($A26,Input!$A$46:$A$58,0),MATCH(AP$13,Input!$C$45:$AM$45,0))</f>
        <v>0.02</v>
      </c>
      <c r="AQ26" s="31" t="str">
        <f>IF(VLOOKUP($A26,Input!$A$46:$B$58,2,FALSE)="Percentage",AR$22,IF(VLOOKUP($A26,Input!$A$46:$B$58,2,FALSE)="Fixed","Fixed",(AQ$22)))</f>
        <v>Fixed</v>
      </c>
      <c r="AR26" s="25">
        <f t="shared" si="22"/>
        <v>0.02</v>
      </c>
      <c r="AS26" s="30"/>
      <c r="AT26" s="173">
        <f>INDEX(Input!$C$46:$AM$58,MATCH($A26,Input!$A$46:$A$58,0),MATCH(AT$13,Input!$C$45:$AM$45,0))</f>
        <v>0.02</v>
      </c>
      <c r="AU26" s="31" t="str">
        <f>IF(VLOOKUP($A26,Input!$A$46:$B$58,2,FALSE)="Percentage",AV$22,IF(VLOOKUP($A26,Input!$A$46:$B$58,2,FALSE)="Fixed","Fixed",(AU$22)))</f>
        <v>Fixed</v>
      </c>
      <c r="AV26" s="25">
        <f t="shared" si="23"/>
        <v>0.02</v>
      </c>
    </row>
    <row r="27" spans="1:48" x14ac:dyDescent="0.55000000000000004">
      <c r="A27" t="str">
        <f>Input!A48</f>
        <v>WRAP</v>
      </c>
      <c r="B27" s="173">
        <f>INDEX(Input!$C$46:$AM$58,MATCH($A27,Input!$A$46:$A$58,0),MATCH(B$13,Input!$C$45:$AM$45,0))</f>
        <v>1.45</v>
      </c>
      <c r="C27" s="31" t="str">
        <f>IF(VLOOKUP($A27,Input!$A$46:$B$58,2,FALSE)="Percentage",D$22,IF(VLOOKUP($A27,Input!$A$46:$B$58,2,FALSE)="Fixed","Fixed",(C$22)))</f>
        <v>Fixed</v>
      </c>
      <c r="D27" s="25">
        <f t="shared" si="12"/>
        <v>1.45</v>
      </c>
      <c r="F27" s="173">
        <f>INDEX(Input!$C$46:$AM$58,MATCH($A27,Input!$A$46:$A$58,0),MATCH(F$13,Input!$C$45:$AM$45,0))</f>
        <v>1.45</v>
      </c>
      <c r="G27" s="31" t="str">
        <f>IF(VLOOKUP($A27,Input!$A$46:$B$58,2,FALSE)="Percentage",H$22,IF(VLOOKUP($A27,Input!$A$46:$B$58,2,FALSE)="Fixed","Fixed",(G$22)))</f>
        <v>Fixed</v>
      </c>
      <c r="H27" s="25">
        <f t="shared" si="13"/>
        <v>1.45</v>
      </c>
      <c r="J27" s="173">
        <f>INDEX(Input!$C$46:$AM$58,MATCH($A27,Input!$A$46:$A$58,0),MATCH(J$13,Input!$C$45:$AM$45,0))</f>
        <v>1.45</v>
      </c>
      <c r="K27" s="31" t="str">
        <f>IF(VLOOKUP($A27,Input!$A$46:$B$58,2,FALSE)="Percentage",L$22,IF(VLOOKUP($A27,Input!$A$46:$B$58,2,FALSE)="Fixed","Fixed",(K$22)))</f>
        <v>Fixed</v>
      </c>
      <c r="L27" s="25">
        <f t="shared" si="14"/>
        <v>1.45</v>
      </c>
      <c r="N27" s="173">
        <f>INDEX(Input!$C$46:$AM$58,MATCH($A27,Input!$A$46:$A$58,0),MATCH(N$13,Input!$C$45:$AM$45,0))</f>
        <v>1.45</v>
      </c>
      <c r="O27" s="31" t="str">
        <f>IF(VLOOKUP($A27,Input!$A$46:$B$58,2,FALSE)="Percentage",P$22,IF(VLOOKUP($A27,Input!$A$46:$B$58,2,FALSE)="Fixed","Fixed",(O$22)))</f>
        <v>Fixed</v>
      </c>
      <c r="P27" s="25">
        <f t="shared" si="15"/>
        <v>1.45</v>
      </c>
      <c r="R27" s="173">
        <f>INDEX(Input!$C$46:$AM$58,MATCH($A27,Input!$A$46:$A$58,0),MATCH(R$13,Input!$C$45:$AM$45,0))</f>
        <v>1.45</v>
      </c>
      <c r="S27" s="31" t="str">
        <f>IF(VLOOKUP($A27,Input!$A$46:$B$58,2,FALSE)="Percentage",T$22,IF(VLOOKUP($A27,Input!$A$46:$B$58,2,FALSE)="Fixed","Fixed",(S$22)))</f>
        <v>Fixed</v>
      </c>
      <c r="T27" s="25">
        <f t="shared" si="16"/>
        <v>1.45</v>
      </c>
      <c r="V27" s="173">
        <f>INDEX(Input!$C$46:$AM$58,MATCH($A27,Input!$A$46:$A$58,0),MATCH(V$13,Input!$C$45:$AM$45,0))</f>
        <v>1.45</v>
      </c>
      <c r="W27" s="31" t="str">
        <f>IF(VLOOKUP($A27,Input!$A$46:$B$58,2,FALSE)="Percentage",X$22,IF(VLOOKUP($A27,Input!$A$46:$B$58,2,FALSE)="Fixed","Fixed",(W$22)))</f>
        <v>Fixed</v>
      </c>
      <c r="X27" s="25">
        <f t="shared" si="17"/>
        <v>1.45</v>
      </c>
      <c r="Z27" s="173">
        <f>INDEX(Input!$C$46:$AM$58,MATCH($A27,Input!$A$46:$A$58,0),MATCH(Z$13,Input!$C$45:$AM$45,0))</f>
        <v>1.45</v>
      </c>
      <c r="AA27" s="31" t="str">
        <f>IF(VLOOKUP($A27,Input!$A$46:$B$58,2,FALSE)="Percentage",AB$22,IF(VLOOKUP($A27,Input!$A$46:$B$58,2,FALSE)="Fixed","Fixed",(AA$22)))</f>
        <v>Fixed</v>
      </c>
      <c r="AB27" s="25">
        <f t="shared" si="18"/>
        <v>1.45</v>
      </c>
      <c r="AD27" s="173">
        <f>INDEX(Input!$C$46:$AM$58,MATCH($A27,Input!$A$46:$A$58,0),MATCH(AD$13,Input!$C$45:$AM$45,0))</f>
        <v>1.45</v>
      </c>
      <c r="AE27" s="31" t="str">
        <f>IF(VLOOKUP($A27,Input!$A$46:$B$58,2,FALSE)="Percentage",AF$22,IF(VLOOKUP($A27,Input!$A$46:$B$58,2,FALSE)="Fixed","Fixed",(AE$22)))</f>
        <v>Fixed</v>
      </c>
      <c r="AF27" s="25">
        <f t="shared" si="19"/>
        <v>1.45</v>
      </c>
      <c r="AH27" s="173">
        <f>INDEX(Input!$C$46:$AM$58,MATCH($A27,Input!$A$46:$A$58,0),MATCH(AH$13,Input!$C$45:$AM$45,0))</f>
        <v>1.45</v>
      </c>
      <c r="AI27" s="31" t="str">
        <f>IF(VLOOKUP($A27,Input!$A$46:$B$58,2,FALSE)="Percentage",AJ$22,IF(VLOOKUP($A27,Input!$A$46:$B$58,2,FALSE)="Fixed","Fixed",(AI$22)))</f>
        <v>Fixed</v>
      </c>
      <c r="AJ27" s="25">
        <f t="shared" si="20"/>
        <v>1.45</v>
      </c>
      <c r="AL27" s="173">
        <f>INDEX(Input!$C$46:$AM$58,MATCH($A27,Input!$A$46:$A$58,0),MATCH(AL$13,Input!$C$45:$AM$45,0))</f>
        <v>1.45</v>
      </c>
      <c r="AM27" s="31" t="str">
        <f>IF(VLOOKUP($A27,Input!$A$46:$B$58,2,FALSE)="Percentage",AN$22,IF(VLOOKUP($A27,Input!$A$46:$B$58,2,FALSE)="Fixed","Fixed",(AM$22)))</f>
        <v>Fixed</v>
      </c>
      <c r="AN27" s="25">
        <f t="shared" si="21"/>
        <v>1.45</v>
      </c>
      <c r="AP27" s="173">
        <f>INDEX(Input!$C$46:$AM$58,MATCH($A27,Input!$A$46:$A$58,0),MATCH(AP$13,Input!$C$45:$AM$45,0))</f>
        <v>1.45</v>
      </c>
      <c r="AQ27" s="31" t="str">
        <f>IF(VLOOKUP($A27,Input!$A$46:$B$58,2,FALSE)="Percentage",AR$22,IF(VLOOKUP($A27,Input!$A$46:$B$58,2,FALSE)="Fixed","Fixed",(AQ$22)))</f>
        <v>Fixed</v>
      </c>
      <c r="AR27" s="25">
        <f t="shared" si="22"/>
        <v>1.45</v>
      </c>
      <c r="AS27" s="30"/>
      <c r="AT27" s="173">
        <f>INDEX(Input!$C$46:$AM$58,MATCH($A27,Input!$A$46:$A$58,0),MATCH(AT$13,Input!$C$45:$AM$45,0))</f>
        <v>1.45</v>
      </c>
      <c r="AU27" s="31" t="str">
        <f>IF(VLOOKUP($A27,Input!$A$46:$B$58,2,FALSE)="Percentage",AV$22,IF(VLOOKUP($A27,Input!$A$46:$B$58,2,FALSE)="Fixed","Fixed",(AU$22)))</f>
        <v>Fixed</v>
      </c>
      <c r="AV27" s="25">
        <f t="shared" si="23"/>
        <v>1.45</v>
      </c>
    </row>
    <row r="28" spans="1:48" x14ac:dyDescent="0.55000000000000004">
      <c r="A28" t="str">
        <f>Input!A49</f>
        <v>PRVMA</v>
      </c>
      <c r="B28" s="173">
        <f>INDEX(Input!$C$46:$AM$58,MATCH($A28,Input!$A$46:$A$58,0),MATCH(B$13,Input!$C$45:$AM$45,0))</f>
        <v>8.8400000000000006E-3</v>
      </c>
      <c r="C28" s="31">
        <f>IF(VLOOKUP($A28,Input!$A$46:$B$58,2,FALSE)="Percentage",D$22,IF(VLOOKUP($A28,Input!$A$46:$B$58,2,FALSE)="Fixed","Fixed",(C$22)))</f>
        <v>6</v>
      </c>
      <c r="D28" s="25">
        <f t="shared" si="12"/>
        <v>0.05</v>
      </c>
      <c r="F28" s="173">
        <f>INDEX(Input!$C$46:$AM$58,MATCH($A28,Input!$A$46:$A$58,0),MATCH(F$13,Input!$C$45:$AM$45,0))</f>
        <v>8.8400000000000006E-3</v>
      </c>
      <c r="G28" s="31">
        <f>IF(VLOOKUP($A28,Input!$A$46:$B$58,2,FALSE)="Percentage",H$22,IF(VLOOKUP($A28,Input!$A$46:$B$58,2,FALSE)="Fixed","Fixed",(G$22)))</f>
        <v>6</v>
      </c>
      <c r="H28" s="25">
        <f t="shared" si="13"/>
        <v>0.05</v>
      </c>
      <c r="J28" s="173">
        <f>INDEX(Input!$C$46:$AM$58,MATCH($A28,Input!$A$46:$A$58,0),MATCH(J$13,Input!$C$45:$AM$45,0))</f>
        <v>8.8400000000000006E-3</v>
      </c>
      <c r="K28" s="31">
        <f>IF(VLOOKUP($A28,Input!$A$46:$B$58,2,FALSE)="Percentage",L$22,IF(VLOOKUP($A28,Input!$A$46:$B$58,2,FALSE)="Fixed","Fixed",(K$22)))</f>
        <v>6</v>
      </c>
      <c r="L28" s="25">
        <f t="shared" si="14"/>
        <v>0.05</v>
      </c>
      <c r="N28" s="173">
        <f>INDEX(Input!$C$46:$AM$58,MATCH($A28,Input!$A$46:$A$58,0),MATCH(N$13,Input!$C$45:$AM$45,0))</f>
        <v>8.8400000000000006E-3</v>
      </c>
      <c r="O28" s="31">
        <f>IF(VLOOKUP($A28,Input!$A$46:$B$58,2,FALSE)="Percentage",P$22,IF(VLOOKUP($A28,Input!$A$46:$B$58,2,FALSE)="Fixed","Fixed",(O$22)))</f>
        <v>6</v>
      </c>
      <c r="P28" s="25">
        <f t="shared" si="15"/>
        <v>0.05</v>
      </c>
      <c r="R28" s="173">
        <f>INDEX(Input!$C$46:$AM$58,MATCH($A28,Input!$A$46:$A$58,0),MATCH(R$13,Input!$C$45:$AM$45,0))</f>
        <v>8.8400000000000006E-3</v>
      </c>
      <c r="S28" s="31">
        <f>IF(VLOOKUP($A28,Input!$A$46:$B$58,2,FALSE)="Percentage",T$22,IF(VLOOKUP($A28,Input!$A$46:$B$58,2,FALSE)="Fixed","Fixed",(S$22)))</f>
        <v>6</v>
      </c>
      <c r="T28" s="25">
        <f t="shared" si="16"/>
        <v>0.05</v>
      </c>
      <c r="V28" s="173">
        <f>INDEX(Input!$C$46:$AM$58,MATCH($A28,Input!$A$46:$A$58,0),MATCH(V$13,Input!$C$45:$AM$45,0))</f>
        <v>8.8400000000000006E-3</v>
      </c>
      <c r="W28" s="31">
        <f>IF(VLOOKUP($A28,Input!$A$46:$B$58,2,FALSE)="Percentage",X$22,IF(VLOOKUP($A28,Input!$A$46:$B$58,2,FALSE)="Fixed","Fixed",(W$22)))</f>
        <v>6</v>
      </c>
      <c r="X28" s="25">
        <f t="shared" si="17"/>
        <v>0.05</v>
      </c>
      <c r="Z28" s="173">
        <f>INDEX(Input!$C$46:$AM$58,MATCH($A28,Input!$A$46:$A$58,0),MATCH(Z$13,Input!$C$45:$AM$45,0))</f>
        <v>8.8400000000000006E-3</v>
      </c>
      <c r="AA28" s="31">
        <f>IF(VLOOKUP($A28,Input!$A$46:$B$58,2,FALSE)="Percentage",AB$22,IF(VLOOKUP($A28,Input!$A$46:$B$58,2,FALSE)="Fixed","Fixed",(AA$22)))</f>
        <v>6</v>
      </c>
      <c r="AB28" s="25">
        <f t="shared" si="18"/>
        <v>0.05</v>
      </c>
      <c r="AD28" s="173">
        <f>INDEX(Input!$C$46:$AM$58,MATCH($A28,Input!$A$46:$A$58,0),MATCH(AD$13,Input!$C$45:$AM$45,0))</f>
        <v>8.8400000000000006E-3</v>
      </c>
      <c r="AE28" s="31">
        <f>IF(VLOOKUP($A28,Input!$A$46:$B$58,2,FALSE)="Percentage",AF$22,IF(VLOOKUP($A28,Input!$A$46:$B$58,2,FALSE)="Fixed","Fixed",(AE$22)))</f>
        <v>6</v>
      </c>
      <c r="AF28" s="25">
        <f t="shared" si="19"/>
        <v>0.05</v>
      </c>
      <c r="AH28" s="173">
        <f>INDEX(Input!$C$46:$AM$58,MATCH($A28,Input!$A$46:$A$58,0),MATCH(AH$13,Input!$C$45:$AM$45,0))</f>
        <v>8.8400000000000006E-3</v>
      </c>
      <c r="AI28" s="31">
        <f>IF(VLOOKUP($A28,Input!$A$46:$B$58,2,FALSE)="Percentage",AJ$22,IF(VLOOKUP($A28,Input!$A$46:$B$58,2,FALSE)="Fixed","Fixed",(AI$22)))</f>
        <v>6</v>
      </c>
      <c r="AJ28" s="25">
        <f t="shared" si="20"/>
        <v>0.05</v>
      </c>
      <c r="AL28" s="173">
        <f>INDEX(Input!$C$46:$AM$58,MATCH($A28,Input!$A$46:$A$58,0),MATCH(AL$13,Input!$C$45:$AM$45,0))</f>
        <v>8.8400000000000006E-3</v>
      </c>
      <c r="AM28" s="31">
        <f>IF(VLOOKUP($A28,Input!$A$46:$B$58,2,FALSE)="Percentage",AN$22,IF(VLOOKUP($A28,Input!$A$46:$B$58,2,FALSE)="Fixed","Fixed",(AM$22)))</f>
        <v>6</v>
      </c>
      <c r="AN28" s="25">
        <f t="shared" si="21"/>
        <v>0.05</v>
      </c>
      <c r="AP28" s="173">
        <f>INDEX(Input!$C$46:$AM$58,MATCH($A28,Input!$A$46:$A$58,0),MATCH(AP$13,Input!$C$45:$AM$45,0))</f>
        <v>8.8400000000000006E-3</v>
      </c>
      <c r="AQ28" s="31">
        <f>IF(VLOOKUP($A28,Input!$A$46:$B$58,2,FALSE)="Percentage",AR$22,IF(VLOOKUP($A28,Input!$A$46:$B$58,2,FALSE)="Fixed","Fixed",(AQ$22)))</f>
        <v>6</v>
      </c>
      <c r="AR28" s="25">
        <f t="shared" si="22"/>
        <v>0.05</v>
      </c>
      <c r="AS28" s="30"/>
      <c r="AT28" s="173">
        <f>INDEX(Input!$C$46:$AM$58,MATCH($A28,Input!$A$46:$A$58,0),MATCH(AT$13,Input!$C$45:$AM$45,0))</f>
        <v>8.8400000000000006E-3</v>
      </c>
      <c r="AU28" s="31">
        <f>IF(VLOOKUP($A28,Input!$A$46:$B$58,2,FALSE)="Percentage",AV$22,IF(VLOOKUP($A28,Input!$A$46:$B$58,2,FALSE)="Fixed","Fixed",(AU$22)))</f>
        <v>6</v>
      </c>
      <c r="AV28" s="25">
        <f t="shared" si="23"/>
        <v>0.05</v>
      </c>
    </row>
    <row r="29" spans="1:48" x14ac:dyDescent="0.55000000000000004">
      <c r="A29" t="str">
        <f>Input!A50</f>
        <v>2022 Surcredit</v>
      </c>
      <c r="B29" s="173">
        <f>INDEX(Input!$C$46:$AM$58,MATCH($A29,Input!$A$46:$A$58,0),MATCH(B$13,Input!$C$45:$AM$45,0))</f>
        <v>0</v>
      </c>
      <c r="C29" s="31" t="str">
        <f>IF(VLOOKUP($A29,Input!$A$46:$B$58,2,FALSE)="Percentage",D$22,IF(VLOOKUP($A29,Input!$A$46:$B$58,2,FALSE)="Fixed","Fixed",(C$22)))</f>
        <v>Fixed</v>
      </c>
      <c r="D29" s="25">
        <f t="shared" si="12"/>
        <v>0</v>
      </c>
      <c r="F29" s="173">
        <f>INDEX(Input!$C$46:$AM$58,MATCH($A29,Input!$A$46:$A$58,0),MATCH(F$13,Input!$C$45:$AM$45,0))</f>
        <v>0</v>
      </c>
      <c r="G29" s="31" t="str">
        <f>IF(VLOOKUP($A29,Input!$A$46:$B$58,2,FALSE)="Percentage",H$22,IF(VLOOKUP($A29,Input!$A$46:$B$58,2,FALSE)="Fixed","Fixed",(G$22)))</f>
        <v>Fixed</v>
      </c>
      <c r="H29" s="25">
        <f t="shared" si="13"/>
        <v>0</v>
      </c>
      <c r="J29" s="173">
        <f>INDEX(Input!$C$46:$AM$58,MATCH($A29,Input!$A$46:$A$58,0),MATCH(J$13,Input!$C$45:$AM$45,0))</f>
        <v>0</v>
      </c>
      <c r="K29" s="31" t="str">
        <f>IF(VLOOKUP($A29,Input!$A$46:$B$58,2,FALSE)="Percentage",L$22,IF(VLOOKUP($A29,Input!$A$46:$B$58,2,FALSE)="Fixed","Fixed",(K$22)))</f>
        <v>Fixed</v>
      </c>
      <c r="L29" s="25">
        <f t="shared" si="14"/>
        <v>0</v>
      </c>
      <c r="N29" s="173">
        <f>INDEX(Input!$C$46:$AM$58,MATCH($A29,Input!$A$46:$A$58,0),MATCH(N$13,Input!$C$45:$AM$45,0))</f>
        <v>0</v>
      </c>
      <c r="O29" s="31" t="str">
        <f>IF(VLOOKUP($A29,Input!$A$46:$B$58,2,FALSE)="Percentage",P$22,IF(VLOOKUP($A29,Input!$A$46:$B$58,2,FALSE)="Fixed","Fixed",(O$22)))</f>
        <v>Fixed</v>
      </c>
      <c r="P29" s="25">
        <f t="shared" si="15"/>
        <v>0</v>
      </c>
      <c r="R29" s="173">
        <f>INDEX(Input!$C$46:$AM$58,MATCH($A29,Input!$A$46:$A$58,0),MATCH(R$13,Input!$C$45:$AM$45,0))</f>
        <v>0</v>
      </c>
      <c r="S29" s="31" t="str">
        <f>IF(VLOOKUP($A29,Input!$A$46:$B$58,2,FALSE)="Percentage",T$22,IF(VLOOKUP($A29,Input!$A$46:$B$58,2,FALSE)="Fixed","Fixed",(S$22)))</f>
        <v>Fixed</v>
      </c>
      <c r="T29" s="25">
        <f t="shared" si="16"/>
        <v>0</v>
      </c>
      <c r="V29" s="173">
        <f>INDEX(Input!$C$46:$AM$58,MATCH($A29,Input!$A$46:$A$58,0),MATCH(V$13,Input!$C$45:$AM$45,0))</f>
        <v>0</v>
      </c>
      <c r="W29" s="31" t="str">
        <f>IF(VLOOKUP($A29,Input!$A$46:$B$58,2,FALSE)="Percentage",X$22,IF(VLOOKUP($A29,Input!$A$46:$B$58,2,FALSE)="Fixed","Fixed",(W$22)))</f>
        <v>Fixed</v>
      </c>
      <c r="X29" s="25">
        <f t="shared" si="17"/>
        <v>0</v>
      </c>
      <c r="Z29" s="173">
        <f>INDEX(Input!$C$46:$AM$58,MATCH($A29,Input!$A$46:$A$58,0),MATCH(Z$13,Input!$C$45:$AM$45,0))</f>
        <v>0</v>
      </c>
      <c r="AA29" s="31" t="str">
        <f>IF(VLOOKUP($A29,Input!$A$46:$B$58,2,FALSE)="Percentage",AB$22,IF(VLOOKUP($A29,Input!$A$46:$B$58,2,FALSE)="Fixed","Fixed",(AA$22)))</f>
        <v>Fixed</v>
      </c>
      <c r="AB29" s="25">
        <f t="shared" si="18"/>
        <v>0</v>
      </c>
      <c r="AD29" s="173">
        <f>INDEX(Input!$C$46:$AM$58,MATCH($A29,Input!$A$46:$A$58,0),MATCH(AD$13,Input!$C$45:$AM$45,0))</f>
        <v>0</v>
      </c>
      <c r="AE29" s="31" t="str">
        <f>IF(VLOOKUP($A29,Input!$A$46:$B$58,2,FALSE)="Percentage",AF$22,IF(VLOOKUP($A29,Input!$A$46:$B$58,2,FALSE)="Fixed","Fixed",(AE$22)))</f>
        <v>Fixed</v>
      </c>
      <c r="AF29" s="25">
        <f t="shared" si="19"/>
        <v>0</v>
      </c>
      <c r="AH29" s="173">
        <f>INDEX(Input!$C$46:$AM$58,MATCH($A29,Input!$A$46:$A$58,0),MATCH(AH$13,Input!$C$45:$AM$45,0))</f>
        <v>0</v>
      </c>
      <c r="AI29" s="31" t="str">
        <f>IF(VLOOKUP($A29,Input!$A$46:$B$58,2,FALSE)="Percentage",AJ$22,IF(VLOOKUP($A29,Input!$A$46:$B$58,2,FALSE)="Fixed","Fixed",(AI$22)))</f>
        <v>Fixed</v>
      </c>
      <c r="AJ29" s="25">
        <f t="shared" si="20"/>
        <v>0</v>
      </c>
      <c r="AL29" s="173">
        <f>INDEX(Input!$C$46:$AM$58,MATCH($A29,Input!$A$46:$A$58,0),MATCH(AL$13,Input!$C$45:$AM$45,0))</f>
        <v>0</v>
      </c>
      <c r="AM29" s="31" t="str">
        <f>IF(VLOOKUP($A29,Input!$A$46:$B$58,2,FALSE)="Percentage",AN$22,IF(VLOOKUP($A29,Input!$A$46:$B$58,2,FALSE)="Fixed","Fixed",(AM$22)))</f>
        <v>Fixed</v>
      </c>
      <c r="AN29" s="25">
        <f t="shared" si="21"/>
        <v>0</v>
      </c>
      <c r="AP29" s="173">
        <f>INDEX(Input!$C$46:$AM$58,MATCH($A29,Input!$A$46:$A$58,0),MATCH(AP$13,Input!$C$45:$AM$45,0))</f>
        <v>-5.65</v>
      </c>
      <c r="AQ29" s="31" t="str">
        <f>IF(VLOOKUP($A29,Input!$A$46:$B$58,2,FALSE)="Percentage",AR$22,IF(VLOOKUP($A29,Input!$A$46:$B$58,2,FALSE)="Fixed","Fixed",(AQ$22)))</f>
        <v>Fixed</v>
      </c>
      <c r="AR29" s="25">
        <f t="shared" si="22"/>
        <v>-5.65</v>
      </c>
      <c r="AS29" s="30"/>
      <c r="AT29" s="173">
        <f>INDEX(Input!$C$46:$AM$58,MATCH($A29,Input!$A$46:$A$58,0),MATCH(AT$13,Input!$C$45:$AM$45,0))</f>
        <v>0</v>
      </c>
      <c r="AU29" s="31" t="str">
        <f>IF(VLOOKUP($A29,Input!$A$46:$B$58,2,FALSE)="Percentage",AV$22,IF(VLOOKUP($A29,Input!$A$46:$B$58,2,FALSE)="Fixed","Fixed",(AU$22)))</f>
        <v>Fixed</v>
      </c>
      <c r="AV29" s="25">
        <f t="shared" si="23"/>
        <v>0</v>
      </c>
    </row>
    <row r="30" spans="1:48" x14ac:dyDescent="0.55000000000000004">
      <c r="A30" t="str">
        <f>Input!A51</f>
        <v>Interim Memo Account Surcharge</v>
      </c>
      <c r="B30" s="173">
        <f>INDEX(Input!$C$46:$AM$58,MATCH($A30,Input!$A$46:$A$58,0),MATCH(B$13,Input!$C$45:$AM$45,0))</f>
        <v>0</v>
      </c>
      <c r="C30" s="31">
        <f>IF(VLOOKUP($A30,Input!$A$46:$B$58,2,FALSE)="Percentage",D$22,IF(VLOOKUP($A30,Input!$A$46:$B$58,2,FALSE)="Fixed","Fixed",(C$22)))</f>
        <v>6</v>
      </c>
      <c r="D30" s="25">
        <f t="shared" si="12"/>
        <v>0</v>
      </c>
      <c r="F30" s="173">
        <f>INDEX(Input!$C$46:$AM$58,MATCH($A30,Input!$A$46:$A$58,0),MATCH(F$13,Input!$C$45:$AM$45,0))</f>
        <v>0</v>
      </c>
      <c r="G30" s="31">
        <f>IF(VLOOKUP($A30,Input!$A$46:$B$58,2,FALSE)="Percentage",H$22,IF(VLOOKUP($A30,Input!$A$46:$B$58,2,FALSE)="Fixed","Fixed",(G$22)))</f>
        <v>6</v>
      </c>
      <c r="H30" s="25">
        <f t="shared" si="13"/>
        <v>0</v>
      </c>
      <c r="J30" s="173">
        <f>INDEX(Input!$C$46:$AM$58,MATCH($A30,Input!$A$46:$A$58,0),MATCH(J$13,Input!$C$45:$AM$45,0))</f>
        <v>0</v>
      </c>
      <c r="K30" s="31">
        <f>IF(VLOOKUP($A30,Input!$A$46:$B$58,2,FALSE)="Percentage",L$22,IF(VLOOKUP($A30,Input!$A$46:$B$58,2,FALSE)="Fixed","Fixed",(K$22)))</f>
        <v>6</v>
      </c>
      <c r="L30" s="25">
        <f t="shared" si="14"/>
        <v>0</v>
      </c>
      <c r="N30" s="173">
        <f>INDEX(Input!$C$46:$AM$58,MATCH($A30,Input!$A$46:$A$58,0),MATCH(N$13,Input!$C$45:$AM$45,0))</f>
        <v>0</v>
      </c>
      <c r="O30" s="31">
        <f>IF(VLOOKUP($A30,Input!$A$46:$B$58,2,FALSE)="Percentage",P$22,IF(VLOOKUP($A30,Input!$A$46:$B$58,2,FALSE)="Fixed","Fixed",(O$22)))</f>
        <v>6</v>
      </c>
      <c r="P30" s="25">
        <f t="shared" si="15"/>
        <v>0</v>
      </c>
      <c r="R30" s="173">
        <f>INDEX(Input!$C$46:$AM$58,MATCH($A30,Input!$A$46:$A$58,0),MATCH(R$13,Input!$C$45:$AM$45,0))</f>
        <v>0</v>
      </c>
      <c r="S30" s="31">
        <f>IF(VLOOKUP($A30,Input!$A$46:$B$58,2,FALSE)="Percentage",T$22,IF(VLOOKUP($A30,Input!$A$46:$B$58,2,FALSE)="Fixed","Fixed",(S$22)))</f>
        <v>6</v>
      </c>
      <c r="T30" s="25">
        <f t="shared" si="16"/>
        <v>0</v>
      </c>
      <c r="V30" s="173">
        <f>INDEX(Input!$C$46:$AM$58,MATCH($A30,Input!$A$46:$A$58,0),MATCH(V$13,Input!$C$45:$AM$45,0))</f>
        <v>0</v>
      </c>
      <c r="W30" s="31">
        <f>IF(VLOOKUP($A30,Input!$A$46:$B$58,2,FALSE)="Percentage",X$22,IF(VLOOKUP($A30,Input!$A$46:$B$58,2,FALSE)="Fixed","Fixed",(W$22)))</f>
        <v>6</v>
      </c>
      <c r="X30" s="25">
        <f t="shared" si="17"/>
        <v>0</v>
      </c>
      <c r="Z30" s="173">
        <f>INDEX(Input!$C$46:$AM$58,MATCH($A30,Input!$A$46:$A$58,0),MATCH(Z$13,Input!$C$45:$AM$45,0))</f>
        <v>0</v>
      </c>
      <c r="AA30" s="31">
        <f>IF(VLOOKUP($A30,Input!$A$46:$B$58,2,FALSE)="Percentage",AB$22,IF(VLOOKUP($A30,Input!$A$46:$B$58,2,FALSE)="Fixed","Fixed",(AA$22)))</f>
        <v>6</v>
      </c>
      <c r="AB30" s="25">
        <f t="shared" si="18"/>
        <v>0</v>
      </c>
      <c r="AD30" s="173">
        <f>INDEX(Input!$C$46:$AM$58,MATCH($A30,Input!$A$46:$A$58,0),MATCH(AD$13,Input!$C$45:$AM$45,0))</f>
        <v>0</v>
      </c>
      <c r="AE30" s="31">
        <f>IF(VLOOKUP($A30,Input!$A$46:$B$58,2,FALSE)="Percentage",AF$22,IF(VLOOKUP($A30,Input!$A$46:$B$58,2,FALSE)="Fixed","Fixed",(AE$22)))</f>
        <v>6</v>
      </c>
      <c r="AF30" s="25">
        <f t="shared" si="19"/>
        <v>0</v>
      </c>
      <c r="AH30" s="173">
        <f>INDEX(Input!$C$46:$AM$58,MATCH($A30,Input!$A$46:$A$58,0),MATCH(AH$13,Input!$C$45:$AM$45,0))</f>
        <v>0</v>
      </c>
      <c r="AI30" s="31">
        <f>IF(VLOOKUP($A30,Input!$A$46:$B$58,2,FALSE)="Percentage",AJ$22,IF(VLOOKUP($A30,Input!$A$46:$B$58,2,FALSE)="Fixed","Fixed",(AI$22)))</f>
        <v>6</v>
      </c>
      <c r="AJ30" s="25">
        <f t="shared" si="20"/>
        <v>0</v>
      </c>
      <c r="AL30" s="173">
        <f>INDEX(Input!$C$46:$AM$58,MATCH($A30,Input!$A$46:$A$58,0),MATCH(AL$13,Input!$C$45:$AM$45,0))</f>
        <v>0</v>
      </c>
      <c r="AM30" s="31">
        <f>IF(VLOOKUP($A30,Input!$A$46:$B$58,2,FALSE)="Percentage",AN$22,IF(VLOOKUP($A30,Input!$A$46:$B$58,2,FALSE)="Fixed","Fixed",(AM$22)))</f>
        <v>6</v>
      </c>
      <c r="AN30" s="25">
        <f t="shared" si="21"/>
        <v>0</v>
      </c>
      <c r="AP30" s="173">
        <f>INDEX(Input!$C$46:$AM$58,MATCH($A30,Input!$A$46:$A$58,0),MATCH(AP$13,Input!$C$45:$AM$45,0))</f>
        <v>0</v>
      </c>
      <c r="AQ30" s="31">
        <f>IF(VLOOKUP($A30,Input!$A$46:$B$58,2,FALSE)="Percentage",AR$22,IF(VLOOKUP($A30,Input!$A$46:$B$58,2,FALSE)="Fixed","Fixed",(AQ$22)))</f>
        <v>6</v>
      </c>
      <c r="AR30" s="25">
        <f t="shared" si="22"/>
        <v>0</v>
      </c>
      <c r="AS30" s="30"/>
      <c r="AT30" s="173">
        <f>INDEX(Input!$C$46:$AM$58,MATCH($A30,Input!$A$46:$A$58,0),MATCH(AT$13,Input!$C$45:$AM$45,0))</f>
        <v>0</v>
      </c>
      <c r="AU30" s="31">
        <f>IF(VLOOKUP($A30,Input!$A$46:$B$58,2,FALSE)="Percentage",AV$22,IF(VLOOKUP($A30,Input!$A$46:$B$58,2,FALSE)="Fixed","Fixed",(AU$22)))</f>
        <v>6</v>
      </c>
      <c r="AV30" s="25">
        <f t="shared" si="23"/>
        <v>0</v>
      </c>
    </row>
    <row r="31" spans="1:48" x14ac:dyDescent="0.55000000000000004">
      <c r="A31">
        <f>Input!A52</f>
        <v>0</v>
      </c>
      <c r="B31" s="173">
        <f>INDEX(Input!$C$46:$AM$58,MATCH($A31,Input!$A$46:$A$58,0),MATCH(B$13,Input!$C$45:$AM$45,0))</f>
        <v>0</v>
      </c>
      <c r="C31" s="31">
        <f>IF(VLOOKUP($A31,Input!$A$46:$B$58,2,FALSE)="Percentage",D$22,IF(VLOOKUP($A31,Input!$A$46:$B$58,2,FALSE)="Fixed","Fixed",(C$22)))</f>
        <v>6</v>
      </c>
      <c r="D31" s="25">
        <f t="shared" si="12"/>
        <v>0</v>
      </c>
      <c r="F31" s="173">
        <f>INDEX(Input!$C$46:$AM$58,MATCH($A31,Input!$A$46:$A$58,0),MATCH(F$13,Input!$C$45:$AM$45,0))</f>
        <v>0</v>
      </c>
      <c r="G31" s="31">
        <f>IF(VLOOKUP($A31,Input!$A$46:$B$58,2,FALSE)="Percentage",H$22,IF(VLOOKUP($A31,Input!$A$46:$B$58,2,FALSE)="Fixed","Fixed",(G$22)))</f>
        <v>6</v>
      </c>
      <c r="H31" s="25">
        <f t="shared" si="13"/>
        <v>0</v>
      </c>
      <c r="J31" s="173">
        <f>INDEX(Input!$C$46:$AM$58,MATCH($A31,Input!$A$46:$A$58,0),MATCH(J$13,Input!$C$45:$AM$45,0))</f>
        <v>0</v>
      </c>
      <c r="K31" s="31">
        <f>IF(VLOOKUP($A31,Input!$A$46:$B$58,2,FALSE)="Percentage",L$22,IF(VLOOKUP($A31,Input!$A$46:$B$58,2,FALSE)="Fixed","Fixed",(K$22)))</f>
        <v>6</v>
      </c>
      <c r="L31" s="25">
        <f t="shared" si="14"/>
        <v>0</v>
      </c>
      <c r="N31" s="173">
        <f>INDEX(Input!$C$46:$AM$58,MATCH($A31,Input!$A$46:$A$58,0),MATCH(N$13,Input!$C$45:$AM$45,0))</f>
        <v>0</v>
      </c>
      <c r="O31" s="31">
        <f>IF(VLOOKUP($A31,Input!$A$46:$B$58,2,FALSE)="Percentage",P$22,IF(VLOOKUP($A31,Input!$A$46:$B$58,2,FALSE)="Fixed","Fixed",(O$22)))</f>
        <v>6</v>
      </c>
      <c r="P31" s="25">
        <f t="shared" si="15"/>
        <v>0</v>
      </c>
      <c r="R31" s="173">
        <f>INDEX(Input!$C$46:$AM$58,MATCH($A31,Input!$A$46:$A$58,0),MATCH(R$13,Input!$C$45:$AM$45,0))</f>
        <v>0</v>
      </c>
      <c r="S31" s="31">
        <f>IF(VLOOKUP($A31,Input!$A$46:$B$58,2,FALSE)="Percentage",T$22,IF(VLOOKUP($A31,Input!$A$46:$B$58,2,FALSE)="Fixed","Fixed",(S$22)))</f>
        <v>6</v>
      </c>
      <c r="T31" s="25">
        <f t="shared" si="16"/>
        <v>0</v>
      </c>
      <c r="V31" s="173">
        <f>INDEX(Input!$C$46:$AM$58,MATCH($A31,Input!$A$46:$A$58,0),MATCH(V$13,Input!$C$45:$AM$45,0))</f>
        <v>0</v>
      </c>
      <c r="W31" s="31">
        <f>IF(VLOOKUP($A31,Input!$A$46:$B$58,2,FALSE)="Percentage",X$22,IF(VLOOKUP($A31,Input!$A$46:$B$58,2,FALSE)="Fixed","Fixed",(W$22)))</f>
        <v>6</v>
      </c>
      <c r="X31" s="25">
        <f t="shared" si="17"/>
        <v>0</v>
      </c>
      <c r="Z31" s="173">
        <f>INDEX(Input!$C$46:$AM$58,MATCH($A31,Input!$A$46:$A$58,0),MATCH(Z$13,Input!$C$45:$AM$45,0))</f>
        <v>0</v>
      </c>
      <c r="AA31" s="31">
        <f>IF(VLOOKUP($A31,Input!$A$46:$B$58,2,FALSE)="Percentage",AB$22,IF(VLOOKUP($A31,Input!$A$46:$B$58,2,FALSE)="Fixed","Fixed",(AA$22)))</f>
        <v>6</v>
      </c>
      <c r="AB31" s="25">
        <f t="shared" si="18"/>
        <v>0</v>
      </c>
      <c r="AD31" s="173">
        <f>INDEX(Input!$C$46:$AM$58,MATCH($A31,Input!$A$46:$A$58,0),MATCH(AD$13,Input!$C$45:$AM$45,0))</f>
        <v>0</v>
      </c>
      <c r="AE31" s="31">
        <f>IF(VLOOKUP($A31,Input!$A$46:$B$58,2,FALSE)="Percentage",AF$22,IF(VLOOKUP($A31,Input!$A$46:$B$58,2,FALSE)="Fixed","Fixed",(AE$22)))</f>
        <v>6</v>
      </c>
      <c r="AF31" s="25">
        <f t="shared" si="19"/>
        <v>0</v>
      </c>
      <c r="AH31" s="173">
        <f>INDEX(Input!$C$46:$AM$58,MATCH($A31,Input!$A$46:$A$58,0),MATCH(AH$13,Input!$C$45:$AM$45,0))</f>
        <v>0</v>
      </c>
      <c r="AI31" s="31">
        <f>IF(VLOOKUP($A31,Input!$A$46:$B$58,2,FALSE)="Percentage",AJ$22,IF(VLOOKUP($A31,Input!$A$46:$B$58,2,FALSE)="Fixed","Fixed",(AI$22)))</f>
        <v>6</v>
      </c>
      <c r="AJ31" s="25">
        <f t="shared" si="20"/>
        <v>0</v>
      </c>
      <c r="AL31" s="173">
        <f>INDEX(Input!$C$46:$AM$58,MATCH($A31,Input!$A$46:$A$58,0),MATCH(AL$13,Input!$C$45:$AM$45,0))</f>
        <v>0</v>
      </c>
      <c r="AM31" s="31">
        <f>IF(VLOOKUP($A31,Input!$A$46:$B$58,2,FALSE)="Percentage",AN$22,IF(VLOOKUP($A31,Input!$A$46:$B$58,2,FALSE)="Fixed","Fixed",(AM$22)))</f>
        <v>6</v>
      </c>
      <c r="AN31" s="25">
        <f t="shared" si="21"/>
        <v>0</v>
      </c>
      <c r="AP31" s="173">
        <f>INDEX(Input!$C$46:$AM$58,MATCH($A31,Input!$A$46:$A$58,0),MATCH(AP$13,Input!$C$45:$AM$45,0))</f>
        <v>0</v>
      </c>
      <c r="AQ31" s="31">
        <f>IF(VLOOKUP($A31,Input!$A$46:$B$58,2,FALSE)="Percentage",AR$22,IF(VLOOKUP($A31,Input!$A$46:$B$58,2,FALSE)="Fixed","Fixed",(AQ$22)))</f>
        <v>6</v>
      </c>
      <c r="AR31" s="25">
        <f t="shared" si="22"/>
        <v>0</v>
      </c>
      <c r="AS31" s="30"/>
      <c r="AT31" s="173">
        <f>INDEX(Input!$C$46:$AM$58,MATCH($A31,Input!$A$46:$A$58,0),MATCH(AT$13,Input!$C$45:$AM$45,0))</f>
        <v>0</v>
      </c>
      <c r="AU31" s="31">
        <f>IF(VLOOKUP($A31,Input!$A$46:$B$58,2,FALSE)="Percentage",AV$22,IF(VLOOKUP($A31,Input!$A$46:$B$58,2,FALSE)="Fixed","Fixed",(AU$22)))</f>
        <v>6</v>
      </c>
      <c r="AV31" s="25">
        <f t="shared" si="23"/>
        <v>0</v>
      </c>
    </row>
    <row r="32" spans="1:48" x14ac:dyDescent="0.55000000000000004">
      <c r="A32">
        <f>Input!A53</f>
        <v>0</v>
      </c>
      <c r="B32" s="173">
        <f>INDEX(Input!$C$46:$AM$58,MATCH($A32,Input!$A$46:$A$58,0),MATCH(B$13,Input!$C$45:$AM$45,0))</f>
        <v>0</v>
      </c>
      <c r="C32" s="31">
        <f>IF(VLOOKUP($A32,Input!$A$46:$B$58,2,FALSE)="Percentage",D$22,IF(VLOOKUP($A32,Input!$A$46:$B$58,2,FALSE)="Fixed","Fixed",(C$22)))</f>
        <v>6</v>
      </c>
      <c r="D32" s="25">
        <f t="shared" si="12"/>
        <v>0</v>
      </c>
      <c r="F32" s="173">
        <f>INDEX(Input!$C$46:$AM$58,MATCH($A32,Input!$A$46:$A$58,0),MATCH(F$13,Input!$C$45:$AM$45,0))</f>
        <v>0</v>
      </c>
      <c r="G32" s="31">
        <f>IF(VLOOKUP($A32,Input!$A$46:$B$58,2,FALSE)="Percentage",H$22,IF(VLOOKUP($A32,Input!$A$46:$B$58,2,FALSE)="Fixed","Fixed",(G$22)))</f>
        <v>6</v>
      </c>
      <c r="H32" s="25">
        <f t="shared" si="13"/>
        <v>0</v>
      </c>
      <c r="J32" s="173">
        <f>INDEX(Input!$C$46:$AM$58,MATCH($A32,Input!$A$46:$A$58,0),MATCH(J$13,Input!$C$45:$AM$45,0))</f>
        <v>0</v>
      </c>
      <c r="K32" s="31">
        <f>IF(VLOOKUP($A32,Input!$A$46:$B$58,2,FALSE)="Percentage",L$22,IF(VLOOKUP($A32,Input!$A$46:$B$58,2,FALSE)="Fixed","Fixed",(K$22)))</f>
        <v>6</v>
      </c>
      <c r="L32" s="25">
        <f t="shared" si="14"/>
        <v>0</v>
      </c>
      <c r="N32" s="173">
        <f>INDEX(Input!$C$46:$AM$58,MATCH($A32,Input!$A$46:$A$58,0),MATCH(N$13,Input!$C$45:$AM$45,0))</f>
        <v>0</v>
      </c>
      <c r="O32" s="31">
        <f>IF(VLOOKUP($A32,Input!$A$46:$B$58,2,FALSE)="Percentage",P$22,IF(VLOOKUP($A32,Input!$A$46:$B$58,2,FALSE)="Fixed","Fixed",(O$22)))</f>
        <v>6</v>
      </c>
      <c r="P32" s="25">
        <f t="shared" si="15"/>
        <v>0</v>
      </c>
      <c r="R32" s="173">
        <f>INDEX(Input!$C$46:$AM$58,MATCH($A32,Input!$A$46:$A$58,0),MATCH(R$13,Input!$C$45:$AM$45,0))</f>
        <v>0</v>
      </c>
      <c r="S32" s="31">
        <f>IF(VLOOKUP($A32,Input!$A$46:$B$58,2,FALSE)="Percentage",T$22,IF(VLOOKUP($A32,Input!$A$46:$B$58,2,FALSE)="Fixed","Fixed",(S$22)))</f>
        <v>6</v>
      </c>
      <c r="T32" s="25">
        <f t="shared" si="16"/>
        <v>0</v>
      </c>
      <c r="V32" s="173">
        <f>INDEX(Input!$C$46:$AM$58,MATCH($A32,Input!$A$46:$A$58,0),MATCH(V$13,Input!$C$45:$AM$45,0))</f>
        <v>0</v>
      </c>
      <c r="W32" s="31">
        <f>IF(VLOOKUP($A32,Input!$A$46:$B$58,2,FALSE)="Percentage",X$22,IF(VLOOKUP($A32,Input!$A$46:$B$58,2,FALSE)="Fixed","Fixed",(W$22)))</f>
        <v>6</v>
      </c>
      <c r="X32" s="25">
        <f t="shared" si="17"/>
        <v>0</v>
      </c>
      <c r="Z32" s="173">
        <f>INDEX(Input!$C$46:$AM$58,MATCH($A32,Input!$A$46:$A$58,0),MATCH(Z$13,Input!$C$45:$AM$45,0))</f>
        <v>0</v>
      </c>
      <c r="AA32" s="31">
        <f>IF(VLOOKUP($A32,Input!$A$46:$B$58,2,FALSE)="Percentage",AB$22,IF(VLOOKUP($A32,Input!$A$46:$B$58,2,FALSE)="Fixed","Fixed",(AA$22)))</f>
        <v>6</v>
      </c>
      <c r="AB32" s="25">
        <f t="shared" si="18"/>
        <v>0</v>
      </c>
      <c r="AD32" s="173">
        <f>INDEX(Input!$C$46:$AM$58,MATCH($A32,Input!$A$46:$A$58,0),MATCH(AD$13,Input!$C$45:$AM$45,0))</f>
        <v>0</v>
      </c>
      <c r="AE32" s="31">
        <f>IF(VLOOKUP($A32,Input!$A$46:$B$58,2,FALSE)="Percentage",AF$22,IF(VLOOKUP($A32,Input!$A$46:$B$58,2,FALSE)="Fixed","Fixed",(AE$22)))</f>
        <v>6</v>
      </c>
      <c r="AF32" s="25">
        <f t="shared" si="19"/>
        <v>0</v>
      </c>
      <c r="AH32" s="173">
        <f>INDEX(Input!$C$46:$AM$58,MATCH($A32,Input!$A$46:$A$58,0),MATCH(AH$13,Input!$C$45:$AM$45,0))</f>
        <v>0</v>
      </c>
      <c r="AI32" s="31">
        <f>IF(VLOOKUP($A32,Input!$A$46:$B$58,2,FALSE)="Percentage",AJ$22,IF(VLOOKUP($A32,Input!$A$46:$B$58,2,FALSE)="Fixed","Fixed",(AI$22)))</f>
        <v>6</v>
      </c>
      <c r="AJ32" s="25">
        <f t="shared" si="20"/>
        <v>0</v>
      </c>
      <c r="AL32" s="173">
        <f>INDEX(Input!$C$46:$AM$58,MATCH($A32,Input!$A$46:$A$58,0),MATCH(AL$13,Input!$C$45:$AM$45,0))</f>
        <v>0</v>
      </c>
      <c r="AM32" s="31">
        <f>IF(VLOOKUP($A32,Input!$A$46:$B$58,2,FALSE)="Percentage",AN$22,IF(VLOOKUP($A32,Input!$A$46:$B$58,2,FALSE)="Fixed","Fixed",(AM$22)))</f>
        <v>6</v>
      </c>
      <c r="AN32" s="25">
        <f t="shared" si="21"/>
        <v>0</v>
      </c>
      <c r="AP32" s="173">
        <f>INDEX(Input!$C$46:$AM$58,MATCH($A32,Input!$A$46:$A$58,0),MATCH(AP$13,Input!$C$45:$AM$45,0))</f>
        <v>0</v>
      </c>
      <c r="AQ32" s="31">
        <f>IF(VLOOKUP($A32,Input!$A$46:$B$58,2,FALSE)="Percentage",AR$22,IF(VLOOKUP($A32,Input!$A$46:$B$58,2,FALSE)="Fixed","Fixed",(AQ$22)))</f>
        <v>6</v>
      </c>
      <c r="AR32" s="25">
        <f t="shared" si="22"/>
        <v>0</v>
      </c>
      <c r="AS32" s="30"/>
      <c r="AT32" s="173">
        <f>INDEX(Input!$C$46:$AM$58,MATCH($A32,Input!$A$46:$A$58,0),MATCH(AT$13,Input!$C$45:$AM$45,0))</f>
        <v>0</v>
      </c>
      <c r="AU32" s="31">
        <f>IF(VLOOKUP($A32,Input!$A$46:$B$58,2,FALSE)="Percentage",AV$22,IF(VLOOKUP($A32,Input!$A$46:$B$58,2,FALSE)="Fixed","Fixed",(AU$22)))</f>
        <v>6</v>
      </c>
      <c r="AV32" s="25">
        <f t="shared" si="23"/>
        <v>0</v>
      </c>
    </row>
    <row r="33" spans="1:48" x14ac:dyDescent="0.55000000000000004">
      <c r="A33">
        <f>Input!A54</f>
        <v>0</v>
      </c>
      <c r="B33" s="173">
        <f>INDEX(Input!$C$46:$AM$58,MATCH($A33,Input!$A$46:$A$58,0),MATCH(B$13,Input!$C$45:$AM$45,0))</f>
        <v>0</v>
      </c>
      <c r="C33" s="31">
        <f>IF(VLOOKUP($A33,Input!$A$46:$B$58,2,FALSE)="Percentage",D$22,IF(VLOOKUP($A33,Input!$A$46:$B$58,2,FALSE)="Fixed","Fixed",(C$22)))</f>
        <v>6</v>
      </c>
      <c r="D33" s="25">
        <f t="shared" si="12"/>
        <v>0</v>
      </c>
      <c r="F33" s="173">
        <f>INDEX(Input!$C$46:$AM$58,MATCH($A33,Input!$A$46:$A$58,0),MATCH(F$13,Input!$C$45:$AM$45,0))</f>
        <v>0</v>
      </c>
      <c r="G33" s="31">
        <f>IF(VLOOKUP($A33,Input!$A$46:$B$58,2,FALSE)="Percentage",H$22,IF(VLOOKUP($A33,Input!$A$46:$B$58,2,FALSE)="Fixed","Fixed",(G$22)))</f>
        <v>6</v>
      </c>
      <c r="H33" s="25">
        <f t="shared" si="13"/>
        <v>0</v>
      </c>
      <c r="J33" s="173">
        <f>INDEX(Input!$C$46:$AM$58,MATCH($A33,Input!$A$46:$A$58,0),MATCH(J$13,Input!$C$45:$AM$45,0))</f>
        <v>0</v>
      </c>
      <c r="K33" s="31">
        <f>IF(VLOOKUP($A33,Input!$A$46:$B$58,2,FALSE)="Percentage",L$22,IF(VLOOKUP($A33,Input!$A$46:$B$58,2,FALSE)="Fixed","Fixed",(K$22)))</f>
        <v>6</v>
      </c>
      <c r="L33" s="25">
        <f t="shared" si="14"/>
        <v>0</v>
      </c>
      <c r="N33" s="173">
        <f>INDEX(Input!$C$46:$AM$58,MATCH($A33,Input!$A$46:$A$58,0),MATCH(N$13,Input!$C$45:$AM$45,0))</f>
        <v>0</v>
      </c>
      <c r="O33" s="31">
        <f>IF(VLOOKUP($A33,Input!$A$46:$B$58,2,FALSE)="Percentage",P$22,IF(VLOOKUP($A33,Input!$A$46:$B$58,2,FALSE)="Fixed","Fixed",(O$22)))</f>
        <v>6</v>
      </c>
      <c r="P33" s="25">
        <f t="shared" si="15"/>
        <v>0</v>
      </c>
      <c r="R33" s="173">
        <f>INDEX(Input!$C$46:$AM$58,MATCH($A33,Input!$A$46:$A$58,0),MATCH(R$13,Input!$C$45:$AM$45,0))</f>
        <v>0</v>
      </c>
      <c r="S33" s="31">
        <f>IF(VLOOKUP($A33,Input!$A$46:$B$58,2,FALSE)="Percentage",T$22,IF(VLOOKUP($A33,Input!$A$46:$B$58,2,FALSE)="Fixed","Fixed",(S$22)))</f>
        <v>6</v>
      </c>
      <c r="T33" s="25">
        <f t="shared" si="16"/>
        <v>0</v>
      </c>
      <c r="V33" s="173">
        <f>INDEX(Input!$C$46:$AM$58,MATCH($A33,Input!$A$46:$A$58,0),MATCH(V$13,Input!$C$45:$AM$45,0))</f>
        <v>0</v>
      </c>
      <c r="W33" s="31">
        <f>IF(VLOOKUP($A33,Input!$A$46:$B$58,2,FALSE)="Percentage",X$22,IF(VLOOKUP($A33,Input!$A$46:$B$58,2,FALSE)="Fixed","Fixed",(W$22)))</f>
        <v>6</v>
      </c>
      <c r="X33" s="25">
        <f t="shared" si="17"/>
        <v>0</v>
      </c>
      <c r="Z33" s="173">
        <f>INDEX(Input!$C$46:$AM$58,MATCH($A33,Input!$A$46:$A$58,0),MATCH(Z$13,Input!$C$45:$AM$45,0))</f>
        <v>0</v>
      </c>
      <c r="AA33" s="31">
        <f>IF(VLOOKUP($A33,Input!$A$46:$B$58,2,FALSE)="Percentage",AB$22,IF(VLOOKUP($A33,Input!$A$46:$B$58,2,FALSE)="Fixed","Fixed",(AA$22)))</f>
        <v>6</v>
      </c>
      <c r="AB33" s="25">
        <f t="shared" si="18"/>
        <v>0</v>
      </c>
      <c r="AD33" s="173">
        <f>INDEX(Input!$C$46:$AM$58,MATCH($A33,Input!$A$46:$A$58,0),MATCH(AD$13,Input!$C$45:$AM$45,0))</f>
        <v>0</v>
      </c>
      <c r="AE33" s="31">
        <f>IF(VLOOKUP($A33,Input!$A$46:$B$58,2,FALSE)="Percentage",AF$22,IF(VLOOKUP($A33,Input!$A$46:$B$58,2,FALSE)="Fixed","Fixed",(AE$22)))</f>
        <v>6</v>
      </c>
      <c r="AF33" s="25">
        <f t="shared" si="19"/>
        <v>0</v>
      </c>
      <c r="AH33" s="173">
        <f>INDEX(Input!$C$46:$AM$58,MATCH($A33,Input!$A$46:$A$58,0),MATCH(AH$13,Input!$C$45:$AM$45,0))</f>
        <v>0</v>
      </c>
      <c r="AI33" s="31">
        <f>IF(VLOOKUP($A33,Input!$A$46:$B$58,2,FALSE)="Percentage",AJ$22,IF(VLOOKUP($A33,Input!$A$46:$B$58,2,FALSE)="Fixed","Fixed",(AI$22)))</f>
        <v>6</v>
      </c>
      <c r="AJ33" s="25">
        <f t="shared" si="20"/>
        <v>0</v>
      </c>
      <c r="AL33" s="173">
        <f>INDEX(Input!$C$46:$AM$58,MATCH($A33,Input!$A$46:$A$58,0),MATCH(AL$13,Input!$C$45:$AM$45,0))</f>
        <v>0</v>
      </c>
      <c r="AM33" s="31">
        <f>IF(VLOOKUP($A33,Input!$A$46:$B$58,2,FALSE)="Percentage",AN$22,IF(VLOOKUP($A33,Input!$A$46:$B$58,2,FALSE)="Fixed","Fixed",(AM$22)))</f>
        <v>6</v>
      </c>
      <c r="AN33" s="25">
        <f t="shared" si="21"/>
        <v>0</v>
      </c>
      <c r="AP33" s="173">
        <f>INDEX(Input!$C$46:$AM$58,MATCH($A33,Input!$A$46:$A$58,0),MATCH(AP$13,Input!$C$45:$AM$45,0))</f>
        <v>0</v>
      </c>
      <c r="AQ33" s="31">
        <f>IF(VLOOKUP($A33,Input!$A$46:$B$58,2,FALSE)="Percentage",AR$22,IF(VLOOKUP($A33,Input!$A$46:$B$58,2,FALSE)="Fixed","Fixed",(AQ$22)))</f>
        <v>6</v>
      </c>
      <c r="AR33" s="25">
        <f t="shared" si="22"/>
        <v>0</v>
      </c>
      <c r="AS33" s="30"/>
      <c r="AT33" s="173">
        <f>INDEX(Input!$C$46:$AM$58,MATCH($A33,Input!$A$46:$A$58,0),MATCH(AT$13,Input!$C$45:$AM$45,0))</f>
        <v>0</v>
      </c>
      <c r="AU33" s="31">
        <f>IF(VLOOKUP($A33,Input!$A$46:$B$58,2,FALSE)="Percentage",AV$22,IF(VLOOKUP($A33,Input!$A$46:$B$58,2,FALSE)="Fixed","Fixed",(AU$22)))</f>
        <v>6</v>
      </c>
      <c r="AV33" s="25">
        <f t="shared" si="23"/>
        <v>0</v>
      </c>
    </row>
    <row r="34" spans="1:48" x14ac:dyDescent="0.55000000000000004">
      <c r="A34">
        <f>Input!A55</f>
        <v>0</v>
      </c>
      <c r="B34" s="173">
        <f>INDEX(Input!$C$46:$AM$58,MATCH($A34,Input!$A$46:$A$58,0),MATCH(B$13,Input!$C$45:$AM$45,0))</f>
        <v>0</v>
      </c>
      <c r="C34" s="31">
        <f>IF(VLOOKUP($A34,Input!$A$46:$B$58,2,FALSE)="Percentage",D$22,IF(VLOOKUP($A34,Input!$A$46:$B$58,2,FALSE)="Fixed","Fixed",(C$22)))</f>
        <v>6</v>
      </c>
      <c r="D34" s="25">
        <f t="shared" si="12"/>
        <v>0</v>
      </c>
      <c r="F34" s="173">
        <f>INDEX(Input!$C$46:$AM$58,MATCH($A34,Input!$A$46:$A$58,0),MATCH(F$13,Input!$C$45:$AM$45,0))</f>
        <v>0</v>
      </c>
      <c r="G34" s="31">
        <f>IF(VLOOKUP($A34,Input!$A$46:$B$58,2,FALSE)="Percentage",H$22,IF(VLOOKUP($A34,Input!$A$46:$B$58,2,FALSE)="Fixed","Fixed",(G$22)))</f>
        <v>6</v>
      </c>
      <c r="H34" s="25">
        <f t="shared" si="13"/>
        <v>0</v>
      </c>
      <c r="J34" s="173">
        <f>INDEX(Input!$C$46:$AM$58,MATCH($A34,Input!$A$46:$A$58,0),MATCH(J$13,Input!$C$45:$AM$45,0))</f>
        <v>0</v>
      </c>
      <c r="K34" s="31">
        <f>IF(VLOOKUP($A34,Input!$A$46:$B$58,2,FALSE)="Percentage",L$22,IF(VLOOKUP($A34,Input!$A$46:$B$58,2,FALSE)="Fixed","Fixed",(K$22)))</f>
        <v>6</v>
      </c>
      <c r="L34" s="25">
        <f t="shared" si="14"/>
        <v>0</v>
      </c>
      <c r="N34" s="173">
        <f>INDEX(Input!$C$46:$AM$58,MATCH($A34,Input!$A$46:$A$58,0),MATCH(N$13,Input!$C$45:$AM$45,0))</f>
        <v>0</v>
      </c>
      <c r="O34" s="31">
        <f>IF(VLOOKUP($A34,Input!$A$46:$B$58,2,FALSE)="Percentage",P$22,IF(VLOOKUP($A34,Input!$A$46:$B$58,2,FALSE)="Fixed","Fixed",(O$22)))</f>
        <v>6</v>
      </c>
      <c r="P34" s="25">
        <f t="shared" si="15"/>
        <v>0</v>
      </c>
      <c r="R34" s="173">
        <f>INDEX(Input!$C$46:$AM$58,MATCH($A34,Input!$A$46:$A$58,0),MATCH(R$13,Input!$C$45:$AM$45,0))</f>
        <v>0</v>
      </c>
      <c r="S34" s="31">
        <f>IF(VLOOKUP($A34,Input!$A$46:$B$58,2,FALSE)="Percentage",T$22,IF(VLOOKUP($A34,Input!$A$46:$B$58,2,FALSE)="Fixed","Fixed",(S$22)))</f>
        <v>6</v>
      </c>
      <c r="T34" s="25">
        <f t="shared" si="16"/>
        <v>0</v>
      </c>
      <c r="V34" s="173">
        <f>INDEX(Input!$C$46:$AM$58,MATCH($A34,Input!$A$46:$A$58,0),MATCH(V$13,Input!$C$45:$AM$45,0))</f>
        <v>0</v>
      </c>
      <c r="W34" s="31">
        <f>IF(VLOOKUP($A34,Input!$A$46:$B$58,2,FALSE)="Percentage",X$22,IF(VLOOKUP($A34,Input!$A$46:$B$58,2,FALSE)="Fixed","Fixed",(W$22)))</f>
        <v>6</v>
      </c>
      <c r="X34" s="25">
        <f t="shared" si="17"/>
        <v>0</v>
      </c>
      <c r="Z34" s="173">
        <f>INDEX(Input!$C$46:$AM$58,MATCH($A34,Input!$A$46:$A$58,0),MATCH(Z$13,Input!$C$45:$AM$45,0))</f>
        <v>0</v>
      </c>
      <c r="AA34" s="31">
        <f>IF(VLOOKUP($A34,Input!$A$46:$B$58,2,FALSE)="Percentage",AB$22,IF(VLOOKUP($A34,Input!$A$46:$B$58,2,FALSE)="Fixed","Fixed",(AA$22)))</f>
        <v>6</v>
      </c>
      <c r="AB34" s="25">
        <f t="shared" si="18"/>
        <v>0</v>
      </c>
      <c r="AD34" s="173">
        <f>INDEX(Input!$C$46:$AM$58,MATCH($A34,Input!$A$46:$A$58,0),MATCH(AD$13,Input!$C$45:$AM$45,0))</f>
        <v>0</v>
      </c>
      <c r="AE34" s="31">
        <f>IF(VLOOKUP($A34,Input!$A$46:$B$58,2,FALSE)="Percentage",AF$22,IF(VLOOKUP($A34,Input!$A$46:$B$58,2,FALSE)="Fixed","Fixed",(AE$22)))</f>
        <v>6</v>
      </c>
      <c r="AF34" s="25">
        <f t="shared" si="19"/>
        <v>0</v>
      </c>
      <c r="AH34" s="173">
        <f>INDEX(Input!$C$46:$AM$58,MATCH($A34,Input!$A$46:$A$58,0),MATCH(AH$13,Input!$C$45:$AM$45,0))</f>
        <v>0</v>
      </c>
      <c r="AI34" s="31">
        <f>IF(VLOOKUP($A34,Input!$A$46:$B$58,2,FALSE)="Percentage",AJ$22,IF(VLOOKUP($A34,Input!$A$46:$B$58,2,FALSE)="Fixed","Fixed",(AI$22)))</f>
        <v>6</v>
      </c>
      <c r="AJ34" s="25">
        <f t="shared" si="20"/>
        <v>0</v>
      </c>
      <c r="AL34" s="173">
        <f>INDEX(Input!$C$46:$AM$58,MATCH($A34,Input!$A$46:$A$58,0),MATCH(AL$13,Input!$C$45:$AM$45,0))</f>
        <v>0</v>
      </c>
      <c r="AM34" s="31">
        <f>IF(VLOOKUP($A34,Input!$A$46:$B$58,2,FALSE)="Percentage",AN$22,IF(VLOOKUP($A34,Input!$A$46:$B$58,2,FALSE)="Fixed","Fixed",(AM$22)))</f>
        <v>6</v>
      </c>
      <c r="AN34" s="25">
        <f t="shared" si="21"/>
        <v>0</v>
      </c>
      <c r="AP34" s="173">
        <f>INDEX(Input!$C$46:$AM$58,MATCH($A34,Input!$A$46:$A$58,0),MATCH(AP$13,Input!$C$45:$AM$45,0))</f>
        <v>0</v>
      </c>
      <c r="AQ34" s="31">
        <f>IF(VLOOKUP($A34,Input!$A$46:$B$58,2,FALSE)="Percentage",AR$22,IF(VLOOKUP($A34,Input!$A$46:$B$58,2,FALSE)="Fixed","Fixed",(AQ$22)))</f>
        <v>6</v>
      </c>
      <c r="AR34" s="25">
        <f t="shared" si="22"/>
        <v>0</v>
      </c>
      <c r="AS34" s="30"/>
      <c r="AT34" s="173">
        <f>INDEX(Input!$C$46:$AM$58,MATCH($A34,Input!$A$46:$A$58,0),MATCH(AT$13,Input!$C$45:$AM$45,0))</f>
        <v>0</v>
      </c>
      <c r="AU34" s="31">
        <f>IF(VLOOKUP($A34,Input!$A$46:$B$58,2,FALSE)="Percentage",AV$22,IF(VLOOKUP($A34,Input!$A$46:$B$58,2,FALSE)="Fixed","Fixed",(AU$22)))</f>
        <v>6</v>
      </c>
      <c r="AV34" s="25">
        <f t="shared" si="23"/>
        <v>0</v>
      </c>
    </row>
    <row r="35" spans="1:48" x14ac:dyDescent="0.55000000000000004">
      <c r="A35">
        <f>Input!A56</f>
        <v>0</v>
      </c>
      <c r="B35" s="173">
        <f>INDEX(Input!$C$46:$AM$58,MATCH($A35,Input!$A$46:$A$58,0),MATCH(B$13,Input!$C$45:$AM$45,0))</f>
        <v>0</v>
      </c>
      <c r="C35" s="31">
        <f>IF(VLOOKUP($A35,Input!$A$46:$B$58,2,FALSE)="Percentage",D$22,IF(VLOOKUP($A35,Input!$A$46:$B$58,2,FALSE)="Fixed","Fixed",(C$22)))</f>
        <v>6</v>
      </c>
      <c r="D35" s="25">
        <f t="shared" si="12"/>
        <v>0</v>
      </c>
      <c r="F35" s="173">
        <f>INDEX(Input!$C$46:$AM$58,MATCH($A35,Input!$A$46:$A$58,0),MATCH(F$13,Input!$C$45:$AM$45,0))</f>
        <v>0</v>
      </c>
      <c r="G35" s="31">
        <f>IF(VLOOKUP($A35,Input!$A$46:$B$58,2,FALSE)="Percentage",H$22,IF(VLOOKUP($A35,Input!$A$46:$B$58,2,FALSE)="Fixed","Fixed",(G$22)))</f>
        <v>6</v>
      </c>
      <c r="H35" s="25">
        <f t="shared" si="13"/>
        <v>0</v>
      </c>
      <c r="J35" s="173">
        <f>INDEX(Input!$C$46:$AM$58,MATCH($A35,Input!$A$46:$A$58,0),MATCH(J$13,Input!$C$45:$AM$45,0))</f>
        <v>0</v>
      </c>
      <c r="K35" s="31">
        <f>IF(VLOOKUP($A35,Input!$A$46:$B$58,2,FALSE)="Percentage",L$22,IF(VLOOKUP($A35,Input!$A$46:$B$58,2,FALSE)="Fixed","Fixed",(K$22)))</f>
        <v>6</v>
      </c>
      <c r="L35" s="25">
        <f t="shared" si="14"/>
        <v>0</v>
      </c>
      <c r="N35" s="173">
        <f>INDEX(Input!$C$46:$AM$58,MATCH($A35,Input!$A$46:$A$58,0),MATCH(N$13,Input!$C$45:$AM$45,0))</f>
        <v>0</v>
      </c>
      <c r="O35" s="31">
        <f>IF(VLOOKUP($A35,Input!$A$46:$B$58,2,FALSE)="Percentage",P$22,IF(VLOOKUP($A35,Input!$A$46:$B$58,2,FALSE)="Fixed","Fixed",(O$22)))</f>
        <v>6</v>
      </c>
      <c r="P35" s="25">
        <f t="shared" si="15"/>
        <v>0</v>
      </c>
      <c r="R35" s="173">
        <f>INDEX(Input!$C$46:$AM$58,MATCH($A35,Input!$A$46:$A$58,0),MATCH(R$13,Input!$C$45:$AM$45,0))</f>
        <v>0</v>
      </c>
      <c r="S35" s="31">
        <f>IF(VLOOKUP($A35,Input!$A$46:$B$58,2,FALSE)="Percentage",T$22,IF(VLOOKUP($A35,Input!$A$46:$B$58,2,FALSE)="Fixed","Fixed",(S$22)))</f>
        <v>6</v>
      </c>
      <c r="T35" s="25">
        <f t="shared" si="16"/>
        <v>0</v>
      </c>
      <c r="V35" s="173">
        <f>INDEX(Input!$C$46:$AM$58,MATCH($A35,Input!$A$46:$A$58,0),MATCH(V$13,Input!$C$45:$AM$45,0))</f>
        <v>0</v>
      </c>
      <c r="W35" s="31">
        <f>IF(VLOOKUP($A35,Input!$A$46:$B$58,2,FALSE)="Percentage",X$22,IF(VLOOKUP($A35,Input!$A$46:$B$58,2,FALSE)="Fixed","Fixed",(W$22)))</f>
        <v>6</v>
      </c>
      <c r="X35" s="25">
        <f t="shared" si="17"/>
        <v>0</v>
      </c>
      <c r="Z35" s="173">
        <f>INDEX(Input!$C$46:$AM$58,MATCH($A35,Input!$A$46:$A$58,0),MATCH(Z$13,Input!$C$45:$AM$45,0))</f>
        <v>0</v>
      </c>
      <c r="AA35" s="31">
        <f>IF(VLOOKUP($A35,Input!$A$46:$B$58,2,FALSE)="Percentage",AB$22,IF(VLOOKUP($A35,Input!$A$46:$B$58,2,FALSE)="Fixed","Fixed",(AA$22)))</f>
        <v>6</v>
      </c>
      <c r="AB35" s="25">
        <f t="shared" si="18"/>
        <v>0</v>
      </c>
      <c r="AD35" s="173">
        <f>INDEX(Input!$C$46:$AM$58,MATCH($A35,Input!$A$46:$A$58,0),MATCH(AD$13,Input!$C$45:$AM$45,0))</f>
        <v>0</v>
      </c>
      <c r="AE35" s="31">
        <f>IF(VLOOKUP($A35,Input!$A$46:$B$58,2,FALSE)="Percentage",AF$22,IF(VLOOKUP($A35,Input!$A$46:$B$58,2,FALSE)="Fixed","Fixed",(AE$22)))</f>
        <v>6</v>
      </c>
      <c r="AF35" s="25">
        <f t="shared" si="19"/>
        <v>0</v>
      </c>
      <c r="AH35" s="173">
        <f>INDEX(Input!$C$46:$AM$58,MATCH($A35,Input!$A$46:$A$58,0),MATCH(AH$13,Input!$C$45:$AM$45,0))</f>
        <v>0</v>
      </c>
      <c r="AI35" s="31">
        <f>IF(VLOOKUP($A35,Input!$A$46:$B$58,2,FALSE)="Percentage",AJ$22,IF(VLOOKUP($A35,Input!$A$46:$B$58,2,FALSE)="Fixed","Fixed",(AI$22)))</f>
        <v>6</v>
      </c>
      <c r="AJ35" s="25">
        <f t="shared" si="20"/>
        <v>0</v>
      </c>
      <c r="AL35" s="173">
        <f>INDEX(Input!$C$46:$AM$58,MATCH($A35,Input!$A$46:$A$58,0),MATCH(AL$13,Input!$C$45:$AM$45,0))</f>
        <v>0</v>
      </c>
      <c r="AM35" s="31">
        <f>IF(VLOOKUP($A35,Input!$A$46:$B$58,2,FALSE)="Percentage",AN$22,IF(VLOOKUP($A35,Input!$A$46:$B$58,2,FALSE)="Fixed","Fixed",(AM$22)))</f>
        <v>6</v>
      </c>
      <c r="AN35" s="25">
        <f t="shared" si="21"/>
        <v>0</v>
      </c>
      <c r="AP35" s="173">
        <f>INDEX(Input!$C$46:$AM$58,MATCH($A35,Input!$A$46:$A$58,0),MATCH(AP$13,Input!$C$45:$AM$45,0))</f>
        <v>0</v>
      </c>
      <c r="AQ35" s="31">
        <f>IF(VLOOKUP($A35,Input!$A$46:$B$58,2,FALSE)="Percentage",AR$22,IF(VLOOKUP($A35,Input!$A$46:$B$58,2,FALSE)="Fixed","Fixed",(AQ$22)))</f>
        <v>6</v>
      </c>
      <c r="AR35" s="25">
        <f t="shared" si="22"/>
        <v>0</v>
      </c>
      <c r="AS35" s="30"/>
      <c r="AT35" s="173">
        <f>INDEX(Input!$C$46:$AM$58,MATCH($A35,Input!$A$46:$A$58,0),MATCH(AT$13,Input!$C$45:$AM$45,0))</f>
        <v>0</v>
      </c>
      <c r="AU35" s="31">
        <f>IF(VLOOKUP($A35,Input!$A$46:$B$58,2,FALSE)="Percentage",AV$22,IF(VLOOKUP($A35,Input!$A$46:$B$58,2,FALSE)="Fixed","Fixed",(AU$22)))</f>
        <v>6</v>
      </c>
      <c r="AV35" s="25">
        <f t="shared" si="23"/>
        <v>0</v>
      </c>
    </row>
    <row r="36" spans="1:48" x14ac:dyDescent="0.55000000000000004">
      <c r="A36">
        <f>Input!A57</f>
        <v>0</v>
      </c>
      <c r="B36" s="173">
        <f>INDEX(Input!$C$46:$AM$58,MATCH($A36,Input!$A$46:$A$58,0),MATCH(B$13,Input!$C$45:$AM$45,0))</f>
        <v>0</v>
      </c>
      <c r="C36" s="31">
        <f>IF(VLOOKUP($A36,Input!$A$46:$B$58,2,FALSE)="Percentage",D$22,IF(VLOOKUP($A36,Input!$A$46:$B$58,2,FALSE)="Fixed","Fixed",(C$22)))</f>
        <v>6</v>
      </c>
      <c r="D36" s="25">
        <f t="shared" si="12"/>
        <v>0</v>
      </c>
      <c r="F36" s="173">
        <f>INDEX(Input!$C$46:$AM$58,MATCH($A36,Input!$A$46:$A$58,0),MATCH(F$13,Input!$C$45:$AM$45,0))</f>
        <v>0</v>
      </c>
      <c r="G36" s="31">
        <f>IF(VLOOKUP($A36,Input!$A$46:$B$58,2,FALSE)="Percentage",H$22,IF(VLOOKUP($A36,Input!$A$46:$B$58,2,FALSE)="Fixed","Fixed",(G$22)))</f>
        <v>6</v>
      </c>
      <c r="H36" s="25">
        <f t="shared" si="13"/>
        <v>0</v>
      </c>
      <c r="J36" s="173">
        <f>INDEX(Input!$C$46:$AM$58,MATCH($A36,Input!$A$46:$A$58,0),MATCH(J$13,Input!$C$45:$AM$45,0))</f>
        <v>0</v>
      </c>
      <c r="K36" s="31">
        <f>IF(VLOOKUP($A36,Input!$A$46:$B$58,2,FALSE)="Percentage",L$22,IF(VLOOKUP($A36,Input!$A$46:$B$58,2,FALSE)="Fixed","Fixed",(K$22)))</f>
        <v>6</v>
      </c>
      <c r="L36" s="25">
        <f t="shared" si="14"/>
        <v>0</v>
      </c>
      <c r="N36" s="173">
        <f>INDEX(Input!$C$46:$AM$58,MATCH($A36,Input!$A$46:$A$58,0),MATCH(N$13,Input!$C$45:$AM$45,0))</f>
        <v>0</v>
      </c>
      <c r="O36" s="31">
        <f>IF(VLOOKUP($A36,Input!$A$46:$B$58,2,FALSE)="Percentage",P$22,IF(VLOOKUP($A36,Input!$A$46:$B$58,2,FALSE)="Fixed","Fixed",(O$22)))</f>
        <v>6</v>
      </c>
      <c r="P36" s="25">
        <f t="shared" si="15"/>
        <v>0</v>
      </c>
      <c r="R36" s="173">
        <f>INDEX(Input!$C$46:$AM$58,MATCH($A36,Input!$A$46:$A$58,0),MATCH(R$13,Input!$C$45:$AM$45,0))</f>
        <v>0</v>
      </c>
      <c r="S36" s="31">
        <f>IF(VLOOKUP($A36,Input!$A$46:$B$58,2,FALSE)="Percentage",T$22,IF(VLOOKUP($A36,Input!$A$46:$B$58,2,FALSE)="Fixed","Fixed",(S$22)))</f>
        <v>6</v>
      </c>
      <c r="T36" s="25">
        <f t="shared" si="16"/>
        <v>0</v>
      </c>
      <c r="V36" s="173">
        <f>INDEX(Input!$C$46:$AM$58,MATCH($A36,Input!$A$46:$A$58,0),MATCH(V$13,Input!$C$45:$AM$45,0))</f>
        <v>0</v>
      </c>
      <c r="W36" s="31">
        <f>IF(VLOOKUP($A36,Input!$A$46:$B$58,2,FALSE)="Percentage",X$22,IF(VLOOKUP($A36,Input!$A$46:$B$58,2,FALSE)="Fixed","Fixed",(W$22)))</f>
        <v>6</v>
      </c>
      <c r="X36" s="25">
        <f t="shared" si="17"/>
        <v>0</v>
      </c>
      <c r="Z36" s="173">
        <f>INDEX(Input!$C$46:$AM$58,MATCH($A36,Input!$A$46:$A$58,0),MATCH(Z$13,Input!$C$45:$AM$45,0))</f>
        <v>0</v>
      </c>
      <c r="AA36" s="31">
        <f>IF(VLOOKUP($A36,Input!$A$46:$B$58,2,FALSE)="Percentage",AB$22,IF(VLOOKUP($A36,Input!$A$46:$B$58,2,FALSE)="Fixed","Fixed",(AA$22)))</f>
        <v>6</v>
      </c>
      <c r="AB36" s="25">
        <f t="shared" si="18"/>
        <v>0</v>
      </c>
      <c r="AD36" s="173">
        <f>INDEX(Input!$C$46:$AM$58,MATCH($A36,Input!$A$46:$A$58,0),MATCH(AD$13,Input!$C$45:$AM$45,0))</f>
        <v>0</v>
      </c>
      <c r="AE36" s="31">
        <f>IF(VLOOKUP($A36,Input!$A$46:$B$58,2,FALSE)="Percentage",AF$22,IF(VLOOKUP($A36,Input!$A$46:$B$58,2,FALSE)="Fixed","Fixed",(AE$22)))</f>
        <v>6</v>
      </c>
      <c r="AF36" s="25">
        <f t="shared" si="19"/>
        <v>0</v>
      </c>
      <c r="AH36" s="173">
        <f>INDEX(Input!$C$46:$AM$58,MATCH($A36,Input!$A$46:$A$58,0),MATCH(AH$13,Input!$C$45:$AM$45,0))</f>
        <v>0</v>
      </c>
      <c r="AI36" s="31">
        <f>IF(VLOOKUP($A36,Input!$A$46:$B$58,2,FALSE)="Percentage",AJ$22,IF(VLOOKUP($A36,Input!$A$46:$B$58,2,FALSE)="Fixed","Fixed",(AI$22)))</f>
        <v>6</v>
      </c>
      <c r="AJ36" s="25">
        <f t="shared" si="20"/>
        <v>0</v>
      </c>
      <c r="AL36" s="173">
        <f>INDEX(Input!$C$46:$AM$58,MATCH($A36,Input!$A$46:$A$58,0),MATCH(AL$13,Input!$C$45:$AM$45,0))</f>
        <v>0</v>
      </c>
      <c r="AM36" s="31">
        <f>IF(VLOOKUP($A36,Input!$A$46:$B$58,2,FALSE)="Percentage",AN$22,IF(VLOOKUP($A36,Input!$A$46:$B$58,2,FALSE)="Fixed","Fixed",(AM$22)))</f>
        <v>6</v>
      </c>
      <c r="AN36" s="25">
        <f t="shared" si="21"/>
        <v>0</v>
      </c>
      <c r="AP36" s="173">
        <f>INDEX(Input!$C$46:$AM$58,MATCH($A36,Input!$A$46:$A$58,0),MATCH(AP$13,Input!$C$45:$AM$45,0))</f>
        <v>0</v>
      </c>
      <c r="AQ36" s="31">
        <f>IF(VLOOKUP($A36,Input!$A$46:$B$58,2,FALSE)="Percentage",AR$22,IF(VLOOKUP($A36,Input!$A$46:$B$58,2,FALSE)="Fixed","Fixed",(AQ$22)))</f>
        <v>6</v>
      </c>
      <c r="AR36" s="25">
        <f t="shared" si="22"/>
        <v>0</v>
      </c>
      <c r="AS36" s="30"/>
      <c r="AT36" s="173">
        <f>INDEX(Input!$C$46:$AM$58,MATCH($A36,Input!$A$46:$A$58,0),MATCH(AT$13,Input!$C$45:$AM$45,0))</f>
        <v>0</v>
      </c>
      <c r="AU36" s="31">
        <f>IF(VLOOKUP($A36,Input!$A$46:$B$58,2,FALSE)="Percentage",AV$22,IF(VLOOKUP($A36,Input!$A$46:$B$58,2,FALSE)="Fixed","Fixed",(AU$22)))</f>
        <v>6</v>
      </c>
      <c r="AV36" s="25">
        <f t="shared" si="23"/>
        <v>0</v>
      </c>
    </row>
    <row r="37" spans="1:48" x14ac:dyDescent="0.55000000000000004">
      <c r="A37">
        <f>Input!A58</f>
        <v>0</v>
      </c>
      <c r="B37" s="173">
        <f>INDEX(Input!$C$46:$AM$58,MATCH($A37,Input!$A$46:$A$58,0),MATCH(B$13,Input!$C$45:$AM$45,0))</f>
        <v>0</v>
      </c>
      <c r="C37" s="31">
        <f>IF(VLOOKUP($A37,Input!$A$46:$B$58,2,FALSE)="Percentage",D$22,IF(VLOOKUP($A37,Input!$A$46:$B$58,2,FALSE)="Fixed","Fixed",(C$22)))</f>
        <v>6</v>
      </c>
      <c r="D37" s="25">
        <f t="shared" si="12"/>
        <v>0</v>
      </c>
      <c r="F37" s="173">
        <f>INDEX(Input!$C$46:$AM$58,MATCH($A37,Input!$A$46:$A$58,0),MATCH(F$13,Input!$C$45:$AM$45,0))</f>
        <v>0</v>
      </c>
      <c r="G37" s="31">
        <f>IF(VLOOKUP($A37,Input!$A$46:$B$58,2,FALSE)="Percentage",H$22,IF(VLOOKUP($A37,Input!$A$46:$B$58,2,FALSE)="Fixed","Fixed",(G$22)))</f>
        <v>6</v>
      </c>
      <c r="H37" s="25">
        <f t="shared" si="13"/>
        <v>0</v>
      </c>
      <c r="J37" s="173">
        <f>INDEX(Input!$C$46:$AM$58,MATCH($A37,Input!$A$46:$A$58,0),MATCH(J$13,Input!$C$45:$AM$45,0))</f>
        <v>0</v>
      </c>
      <c r="K37" s="31">
        <f>IF(VLOOKUP($A37,Input!$A$46:$B$58,2,FALSE)="Percentage",L$22,IF(VLOOKUP($A37,Input!$A$46:$B$58,2,FALSE)="Fixed","Fixed",(K$22)))</f>
        <v>6</v>
      </c>
      <c r="L37" s="25">
        <f t="shared" si="14"/>
        <v>0</v>
      </c>
      <c r="N37" s="173">
        <f>INDEX(Input!$C$46:$AM$58,MATCH($A37,Input!$A$46:$A$58,0),MATCH(N$13,Input!$C$45:$AM$45,0))</f>
        <v>0</v>
      </c>
      <c r="O37" s="31">
        <f>IF(VLOOKUP($A37,Input!$A$46:$B$58,2,FALSE)="Percentage",P$22,IF(VLOOKUP($A37,Input!$A$46:$B$58,2,FALSE)="Fixed","Fixed",(O$22)))</f>
        <v>6</v>
      </c>
      <c r="P37" s="25">
        <f t="shared" si="15"/>
        <v>0</v>
      </c>
      <c r="R37" s="173">
        <f>INDEX(Input!$C$46:$AM$58,MATCH($A37,Input!$A$46:$A$58,0),MATCH(R$13,Input!$C$45:$AM$45,0))</f>
        <v>0</v>
      </c>
      <c r="S37" s="31">
        <f>IF(VLOOKUP($A37,Input!$A$46:$B$58,2,FALSE)="Percentage",T$22,IF(VLOOKUP($A37,Input!$A$46:$B$58,2,FALSE)="Fixed","Fixed",(S$22)))</f>
        <v>6</v>
      </c>
      <c r="T37" s="25">
        <f t="shared" si="16"/>
        <v>0</v>
      </c>
      <c r="V37" s="173">
        <f>INDEX(Input!$C$46:$AM$58,MATCH($A37,Input!$A$46:$A$58,0),MATCH(V$13,Input!$C$45:$AM$45,0))</f>
        <v>0</v>
      </c>
      <c r="W37" s="31">
        <f>IF(VLOOKUP($A37,Input!$A$46:$B$58,2,FALSE)="Percentage",X$22,IF(VLOOKUP($A37,Input!$A$46:$B$58,2,FALSE)="Fixed","Fixed",(W$22)))</f>
        <v>6</v>
      </c>
      <c r="X37" s="25">
        <f t="shared" si="17"/>
        <v>0</v>
      </c>
      <c r="Z37" s="173">
        <f>INDEX(Input!$C$46:$AM$58,MATCH($A37,Input!$A$46:$A$58,0),MATCH(Z$13,Input!$C$45:$AM$45,0))</f>
        <v>0</v>
      </c>
      <c r="AA37" s="31">
        <f>IF(VLOOKUP($A37,Input!$A$46:$B$58,2,FALSE)="Percentage",AB$22,IF(VLOOKUP($A37,Input!$A$46:$B$58,2,FALSE)="Fixed","Fixed",(AA$22)))</f>
        <v>6</v>
      </c>
      <c r="AB37" s="25">
        <f t="shared" si="18"/>
        <v>0</v>
      </c>
      <c r="AD37" s="173">
        <f>INDEX(Input!$C$46:$AM$58,MATCH($A37,Input!$A$46:$A$58,0),MATCH(AD$13,Input!$C$45:$AM$45,0))</f>
        <v>0</v>
      </c>
      <c r="AE37" s="31">
        <f>IF(VLOOKUP($A37,Input!$A$46:$B$58,2,FALSE)="Percentage",AF$22,IF(VLOOKUP($A37,Input!$A$46:$B$58,2,FALSE)="Fixed","Fixed",(AE$22)))</f>
        <v>6</v>
      </c>
      <c r="AF37" s="25">
        <f t="shared" si="19"/>
        <v>0</v>
      </c>
      <c r="AH37" s="173">
        <f>INDEX(Input!$C$46:$AM$58,MATCH($A37,Input!$A$46:$A$58,0),MATCH(AH$13,Input!$C$45:$AM$45,0))</f>
        <v>0</v>
      </c>
      <c r="AI37" s="31">
        <f>IF(VLOOKUP($A37,Input!$A$46:$B$58,2,FALSE)="Percentage",AJ$22,IF(VLOOKUP($A37,Input!$A$46:$B$58,2,FALSE)="Fixed","Fixed",(AI$22)))</f>
        <v>6</v>
      </c>
      <c r="AJ37" s="25">
        <f t="shared" si="20"/>
        <v>0</v>
      </c>
      <c r="AL37" s="173">
        <f>INDEX(Input!$C$46:$AM$58,MATCH($A37,Input!$A$46:$A$58,0),MATCH(AL$13,Input!$C$45:$AM$45,0))</f>
        <v>0</v>
      </c>
      <c r="AM37" s="31">
        <f>IF(VLOOKUP($A37,Input!$A$46:$B$58,2,FALSE)="Percentage",AN$22,IF(VLOOKUP($A37,Input!$A$46:$B$58,2,FALSE)="Fixed","Fixed",(AM$22)))</f>
        <v>6</v>
      </c>
      <c r="AN37" s="25">
        <f t="shared" si="21"/>
        <v>0</v>
      </c>
      <c r="AP37" s="173">
        <f>INDEX(Input!$C$46:$AM$58,MATCH($A37,Input!$A$46:$A$58,0),MATCH(AP$13,Input!$C$45:$AM$45,0))</f>
        <v>0</v>
      </c>
      <c r="AQ37" s="31">
        <f>IF(VLOOKUP($A37,Input!$A$46:$B$58,2,FALSE)="Percentage",AR$22,IF(VLOOKUP($A37,Input!$A$46:$B$58,2,FALSE)="Fixed","Fixed",(AQ$22)))</f>
        <v>6</v>
      </c>
      <c r="AR37" s="25">
        <f t="shared" si="22"/>
        <v>0</v>
      </c>
      <c r="AS37" s="30"/>
      <c r="AT37" s="173">
        <f>INDEX(Input!$C$46:$AM$58,MATCH($A37,Input!$A$46:$A$58,0),MATCH(AT$13,Input!$C$45:$AM$45,0))</f>
        <v>0</v>
      </c>
      <c r="AU37" s="31">
        <f>IF(VLOOKUP($A37,Input!$A$46:$B$58,2,FALSE)="Percentage",AV$22,IF(VLOOKUP($A37,Input!$A$46:$B$58,2,FALSE)="Fixed","Fixed",(AU$22)))</f>
        <v>6</v>
      </c>
      <c r="AV37" s="25">
        <f t="shared" si="23"/>
        <v>0</v>
      </c>
    </row>
    <row r="38" spans="1:48" x14ac:dyDescent="0.55000000000000004">
      <c r="A38" t="s">
        <v>39</v>
      </c>
      <c r="B38" s="16"/>
      <c r="C38" s="17"/>
      <c r="D38" s="26">
        <f>SUM(D25:D37)</f>
        <v>1.56</v>
      </c>
      <c r="F38" s="16"/>
      <c r="G38" s="17"/>
      <c r="H38" s="26">
        <f>SUM(H25:H37)</f>
        <v>1.56</v>
      </c>
      <c r="J38" s="16"/>
      <c r="K38" s="17"/>
      <c r="L38" s="26">
        <f>SUM(L25:L37)</f>
        <v>1.56</v>
      </c>
      <c r="N38" s="16"/>
      <c r="O38" s="17"/>
      <c r="P38" s="26">
        <f>SUM(P25:P37)</f>
        <v>1.56</v>
      </c>
      <c r="R38" s="16"/>
      <c r="S38" s="17"/>
      <c r="T38" s="26">
        <f>SUM(T25:T37)</f>
        <v>1.56</v>
      </c>
      <c r="V38" s="16"/>
      <c r="W38" s="17"/>
      <c r="X38" s="26">
        <f>SUM(X25:X37)</f>
        <v>1.56</v>
      </c>
      <c r="Z38" s="16"/>
      <c r="AA38" s="17"/>
      <c r="AB38" s="26">
        <f>SUM(AB25:AB37)</f>
        <v>1.56</v>
      </c>
      <c r="AD38" s="16"/>
      <c r="AE38" s="17"/>
      <c r="AF38" s="26">
        <f>SUM(AF25:AF37)</f>
        <v>1.56</v>
      </c>
      <c r="AH38" s="16"/>
      <c r="AI38" s="17"/>
      <c r="AJ38" s="26">
        <f>SUM(AJ25:AJ37)</f>
        <v>1.56</v>
      </c>
      <c r="AL38" s="16"/>
      <c r="AM38" s="17"/>
      <c r="AN38" s="26">
        <f>SUM(AN25:AN37)</f>
        <v>1.56</v>
      </c>
      <c r="AP38" s="16"/>
      <c r="AQ38" s="17"/>
      <c r="AR38" s="26">
        <f>SUM(AR25:AR37)</f>
        <v>-4.09</v>
      </c>
      <c r="AS38" s="64"/>
      <c r="AT38" s="16"/>
      <c r="AU38" s="17"/>
      <c r="AV38" s="26">
        <f>SUM(AV25:AV37)</f>
        <v>1.56</v>
      </c>
    </row>
    <row r="39" spans="1:48" x14ac:dyDescent="0.55000000000000004">
      <c r="B39" s="16"/>
      <c r="C39" s="17"/>
      <c r="D39" s="19"/>
      <c r="F39" s="16"/>
      <c r="G39" s="17"/>
      <c r="H39" s="19"/>
      <c r="J39" s="16"/>
      <c r="K39" s="17"/>
      <c r="L39" s="19"/>
      <c r="N39" s="16"/>
      <c r="O39" s="17"/>
      <c r="P39" s="19"/>
      <c r="R39" s="16"/>
      <c r="S39" s="17"/>
      <c r="T39" s="19"/>
      <c r="V39" s="16"/>
      <c r="W39" s="17"/>
      <c r="X39" s="19"/>
      <c r="Z39" s="16"/>
      <c r="AA39" s="17"/>
      <c r="AB39" s="19"/>
      <c r="AD39" s="16"/>
      <c r="AE39" s="17"/>
      <c r="AF39" s="19"/>
      <c r="AH39" s="16"/>
      <c r="AI39" s="17"/>
      <c r="AJ39" s="19"/>
      <c r="AL39" s="16"/>
      <c r="AM39" s="17"/>
      <c r="AN39" s="19"/>
      <c r="AP39" s="16"/>
      <c r="AQ39" s="17"/>
      <c r="AR39" s="19"/>
      <c r="AS39" s="17"/>
      <c r="AT39" s="16"/>
      <c r="AU39" s="17"/>
      <c r="AV39" s="19"/>
    </row>
    <row r="40" spans="1:48" x14ac:dyDescent="0.55000000000000004">
      <c r="A40" s="1" t="s">
        <v>35</v>
      </c>
      <c r="B40" s="20" t="s">
        <v>29</v>
      </c>
      <c r="C40" s="21" t="s">
        <v>45</v>
      </c>
      <c r="D40" s="22" t="s">
        <v>30</v>
      </c>
      <c r="F40" s="20" t="s">
        <v>29</v>
      </c>
      <c r="G40" s="21" t="s">
        <v>45</v>
      </c>
      <c r="H40" s="111" t="s">
        <v>30</v>
      </c>
      <c r="J40" s="20" t="s">
        <v>29</v>
      </c>
      <c r="K40" s="21" t="s">
        <v>45</v>
      </c>
      <c r="L40" s="111" t="s">
        <v>30</v>
      </c>
      <c r="N40" s="20" t="s">
        <v>29</v>
      </c>
      <c r="O40" s="21" t="s">
        <v>45</v>
      </c>
      <c r="P40" s="111" t="s">
        <v>30</v>
      </c>
      <c r="R40" s="20" t="s">
        <v>29</v>
      </c>
      <c r="S40" s="21" t="s">
        <v>45</v>
      </c>
      <c r="T40" s="111" t="s">
        <v>30</v>
      </c>
      <c r="V40" s="20" t="s">
        <v>29</v>
      </c>
      <c r="W40" s="21" t="s">
        <v>45</v>
      </c>
      <c r="X40" s="111" t="s">
        <v>30</v>
      </c>
      <c r="Z40" s="20" t="s">
        <v>29</v>
      </c>
      <c r="AA40" s="21" t="s">
        <v>45</v>
      </c>
      <c r="AB40" s="111" t="s">
        <v>30</v>
      </c>
      <c r="AD40" s="20" t="s">
        <v>29</v>
      </c>
      <c r="AE40" s="21" t="s">
        <v>45</v>
      </c>
      <c r="AF40" s="111" t="s">
        <v>30</v>
      </c>
      <c r="AH40" s="20" t="s">
        <v>29</v>
      </c>
      <c r="AI40" s="21" t="s">
        <v>45</v>
      </c>
      <c r="AJ40" s="111" t="s">
        <v>30</v>
      </c>
      <c r="AL40" s="20" t="s">
        <v>29</v>
      </c>
      <c r="AM40" s="21" t="s">
        <v>45</v>
      </c>
      <c r="AN40" s="111" t="s">
        <v>30</v>
      </c>
      <c r="AP40" s="20" t="s">
        <v>29</v>
      </c>
      <c r="AQ40" s="21" t="s">
        <v>45</v>
      </c>
      <c r="AR40" s="111" t="s">
        <v>30</v>
      </c>
      <c r="AS40" s="170"/>
      <c r="AT40" s="20" t="s">
        <v>29</v>
      </c>
      <c r="AU40" s="21" t="s">
        <v>45</v>
      </c>
      <c r="AV40" s="111" t="s">
        <v>30</v>
      </c>
    </row>
    <row r="41" spans="1:48" x14ac:dyDescent="0.55000000000000004">
      <c r="A41" t="str">
        <f>+Input!A77</f>
        <v>CPUC Fee</v>
      </c>
      <c r="B41" s="29">
        <f>INDEX(Input!$C$77:$AL$82,MATCH('Residential Bills_Yr 1_avg'!$A$41,Input!$A$77:$A$82,0),MATCH('Residential Bills_Yr 1_avg'!B13:D13,Input!$C$76:$AL$76,0))</f>
        <v>1.43E-2</v>
      </c>
      <c r="C41" s="30">
        <f>D22+D38</f>
        <v>70.86</v>
      </c>
      <c r="D41" s="25">
        <f>ROUND(B41*C41,2)</f>
        <v>1.01</v>
      </c>
      <c r="F41" s="29">
        <f>INDEX(Input!$C$77:$AL$82,MATCH('Residential Bills_Yr 1_avg'!$A$41,Input!$A$77:$A$82,0),MATCH('Residential Bills_Yr 1_avg'!F13:H13,Input!$C$76:$AL$76,0))</f>
        <v>1.43E-2</v>
      </c>
      <c r="G41" s="30">
        <f>H22+H38</f>
        <v>70.86</v>
      </c>
      <c r="H41" s="25">
        <f>ROUND(F41*G41,2)</f>
        <v>1.01</v>
      </c>
      <c r="J41" s="29">
        <f>INDEX(Input!$C$77:$AL$82,MATCH('Residential Bills_Yr 1_avg'!$A$41,Input!$A$77:$A$82,0),MATCH('Residential Bills_Yr 1_avg'!J13:L13,Input!$C$76:$AL$76,0))</f>
        <v>1.43E-2</v>
      </c>
      <c r="K41" s="30">
        <f>L22+L38</f>
        <v>70.86</v>
      </c>
      <c r="L41" s="25">
        <f>ROUND(J41*K41,2)</f>
        <v>1.01</v>
      </c>
      <c r="N41" s="29">
        <f>INDEX(Input!$C$77:$AL$82,MATCH('Residential Bills_Yr 1_avg'!$A$41,Input!$A$77:$A$82,0),MATCH('Residential Bills_Yr 1_avg'!N13:P13,Input!$C$76:$AL$76,0))</f>
        <v>1.43E-2</v>
      </c>
      <c r="O41" s="30">
        <f>P22+P38</f>
        <v>70.86</v>
      </c>
      <c r="P41" s="25">
        <f>ROUND(N41*O41,2)</f>
        <v>1.01</v>
      </c>
      <c r="R41" s="29">
        <f>INDEX(Input!$C$77:$AL$82,MATCH('Residential Bills_Yr 1_avg'!$A$41,Input!$A$77:$A$82,0),MATCH('Residential Bills_Yr 1_avg'!R13:T13,Input!$C$76:$AL$76,0))</f>
        <v>1.43E-2</v>
      </c>
      <c r="S41" s="30">
        <f>T22+T38</f>
        <v>70.86</v>
      </c>
      <c r="T41" s="25">
        <f>ROUND(R41*S41,2)</f>
        <v>1.01</v>
      </c>
      <c r="V41" s="29">
        <f>INDEX(Input!$C$77:$AL$82,MATCH('Residential Bills_Yr 1_avg'!$A$41,Input!$A$77:$A$82,0),MATCH('Residential Bills_Yr 1_avg'!V13:X13,Input!$C$76:$AL$76,0))</f>
        <v>1.43E-2</v>
      </c>
      <c r="W41" s="30">
        <f>X22+X38</f>
        <v>70.86</v>
      </c>
      <c r="X41" s="25">
        <f>ROUND(V41*W41,2)</f>
        <v>1.01</v>
      </c>
      <c r="Z41" s="29">
        <f>INDEX(Input!$C$77:$AL$82,MATCH('Residential Bills_Yr 1_avg'!$A$41,Input!$A$77:$A$82,0),MATCH('Residential Bills_Yr 1_avg'!Z13:AB13,Input!$C$76:$AL$76,0))</f>
        <v>1.43E-2</v>
      </c>
      <c r="AA41" s="30">
        <f>AB22+AB38</f>
        <v>73.98</v>
      </c>
      <c r="AB41" s="25">
        <f>ROUND(Z41*AA41,2)</f>
        <v>1.06</v>
      </c>
      <c r="AD41" s="29">
        <f>INDEX(Input!$C$77:$AL$82,MATCH('Residential Bills_Yr 1_avg'!$A$41,Input!$A$77:$A$82,0),MATCH('Residential Bills_Yr 1_avg'!AD13:AF13,Input!$C$76:$AL$76,0))</f>
        <v>1.43E-2</v>
      </c>
      <c r="AE41" s="30">
        <f>AF22+AF38</f>
        <v>73.98</v>
      </c>
      <c r="AF41" s="25">
        <f>ROUND(AD41*AE41,2)</f>
        <v>1.06</v>
      </c>
      <c r="AH41" s="29">
        <f>INDEX(Input!$C$77:$AL$82,MATCH('Residential Bills_Yr 1_avg'!$A$41,Input!$A$77:$A$82,0),MATCH('Residential Bills_Yr 1_avg'!AH13:AJ13,Input!$C$76:$AL$76,0))</f>
        <v>1.43E-2</v>
      </c>
      <c r="AI41" s="30">
        <f>AJ22+AJ38</f>
        <v>73.98</v>
      </c>
      <c r="AJ41" s="25">
        <f>ROUND(AH41*AI41,2)</f>
        <v>1.06</v>
      </c>
      <c r="AL41" s="29">
        <f>INDEX(Input!$C$77:$AL$82,MATCH('Residential Bills_Yr 1_avg'!$A$41,Input!$A$77:$A$82,0),MATCH('Residential Bills_Yr 1_avg'!AL13:AN13,Input!$C$76:$AL$76,0))</f>
        <v>1.43E-2</v>
      </c>
      <c r="AM41" s="30">
        <f>AN22+AN38</f>
        <v>73.98</v>
      </c>
      <c r="AN41" s="25">
        <f>ROUND(AL41*AM41,2)</f>
        <v>1.06</v>
      </c>
      <c r="AP41" s="29">
        <f>INDEX(Input!$C$77:$AL$82,MATCH('Residential Bills_Yr 1_avg'!$A$41,Input!$A$77:$A$82,0),MATCH('Residential Bills_Yr 1_avg'!AP13:AR13,Input!$C$76:$AL$76,0))</f>
        <v>1.43E-2</v>
      </c>
      <c r="AQ41" s="30">
        <f>AR22+AR38</f>
        <v>70.789999999999992</v>
      </c>
      <c r="AR41" s="25">
        <f>ROUND(AP41*AQ41,2)</f>
        <v>1.01</v>
      </c>
      <c r="AS41" s="30"/>
      <c r="AT41" s="29">
        <f>INDEX(Input!$C$77:$AL$82,MATCH('Residential Bills_Yr 1_avg'!$A$41,Input!$A$77:$A$82,0),MATCH('Residential Bills_Yr 1_avg'!AT13:AV13,Input!$C$76:$AL$76,0))</f>
        <v>1.43E-2</v>
      </c>
      <c r="AU41" s="30">
        <f>AV22+AV38</f>
        <v>76.44</v>
      </c>
      <c r="AV41" s="25">
        <f>ROUND(AT41*AU41,2)</f>
        <v>1.0900000000000001</v>
      </c>
    </row>
    <row r="42" spans="1:48" ht="14.5" customHeight="1" x14ac:dyDescent="0.55000000000000004">
      <c r="A42" t="str">
        <f>+Input!A78</f>
        <v>CSJ UTT</v>
      </c>
      <c r="B42" s="29">
        <f>INDEX(Input!$C$77:$AL$82,MATCH('Residential Bills_Yr 1_avg'!$A$42,Input!$A$77:$A$82,0),MATCH('Residential Bills_Yr 1_avg'!B13,Input!$C$76:$AL$76,0))</f>
        <v>0.05</v>
      </c>
      <c r="C42" s="30">
        <f>D22+D38+D41</f>
        <v>71.87</v>
      </c>
      <c r="D42" s="25">
        <f>ROUND(B42*C42,2)</f>
        <v>3.59</v>
      </c>
      <c r="F42" s="29">
        <f>INDEX(Input!$C$77:$AL$82,MATCH('Residential Bills_Yr 1_avg'!$A$42,Input!$A$77:$A$82,0),MATCH('Residential Bills_Yr 1_avg'!F13,Input!$C$76:$AL$76,0))</f>
        <v>0.05</v>
      </c>
      <c r="G42" s="30">
        <f>H22+H38+H41</f>
        <v>71.87</v>
      </c>
      <c r="H42" s="25">
        <f>ROUND(F42*G42,2)</f>
        <v>3.59</v>
      </c>
      <c r="J42" s="29">
        <f>INDEX(Input!$C$77:$AL$82,MATCH('Residential Bills_Yr 1_avg'!$A$42,Input!$A$77:$A$82,0),MATCH('Residential Bills_Yr 1_avg'!J13,Input!$C$76:$AL$76,0))</f>
        <v>0.05</v>
      </c>
      <c r="K42" s="30">
        <f>L22+L38+L41</f>
        <v>71.87</v>
      </c>
      <c r="L42" s="25">
        <f>ROUND(J42*K42,2)</f>
        <v>3.59</v>
      </c>
      <c r="N42" s="29">
        <f>INDEX(Input!$C$77:$AL$82,MATCH('Residential Bills_Yr 1_avg'!$A$42,Input!$A$77:$A$82,0),MATCH('Residential Bills_Yr 1_avg'!N13,Input!$C$76:$AL$76,0))</f>
        <v>0.05</v>
      </c>
      <c r="O42" s="30">
        <f>P22+P38+P41</f>
        <v>71.87</v>
      </c>
      <c r="P42" s="25">
        <f>ROUND(N42*O42,2)</f>
        <v>3.59</v>
      </c>
      <c r="R42" s="29">
        <f>INDEX(Input!$C$77:$AL$82,MATCH('Residential Bills_Yr 1_avg'!$A$42,Input!$A$77:$A$82,0),MATCH('Residential Bills_Yr 1_avg'!R13,Input!$C$76:$AL$76,0))</f>
        <v>0.05</v>
      </c>
      <c r="S42" s="30">
        <f>T22+T38+T41</f>
        <v>71.87</v>
      </c>
      <c r="T42" s="25">
        <f>ROUND(R42*S42,2)</f>
        <v>3.59</v>
      </c>
      <c r="V42" s="29">
        <f>INDEX(Input!$C$77:$AL$82,MATCH('Residential Bills_Yr 1_avg'!$A$42,Input!$A$77:$A$82,0),MATCH('Residential Bills_Yr 1_avg'!V13,Input!$C$76:$AL$76,0))</f>
        <v>0.05</v>
      </c>
      <c r="W42" s="30">
        <f>X22+X38+X41</f>
        <v>71.87</v>
      </c>
      <c r="X42" s="25">
        <f>ROUND(V42*W42,2)</f>
        <v>3.59</v>
      </c>
      <c r="Z42" s="29">
        <f>INDEX(Input!$C$77:$AL$82,MATCH('Residential Bills_Yr 1_avg'!$A$42,Input!$A$77:$A$82,0),MATCH('Residential Bills_Yr 1_avg'!Z13,Input!$C$76:$AL$76,0))</f>
        <v>0.05</v>
      </c>
      <c r="AA42" s="30">
        <f>AB22+AB38+AB41</f>
        <v>75.040000000000006</v>
      </c>
      <c r="AB42" s="25">
        <f>ROUND(Z42*AA42,2)</f>
        <v>3.75</v>
      </c>
      <c r="AD42" s="29">
        <f>INDEX(Input!$C$77:$AL$82,MATCH('Residential Bills_Yr 1_avg'!$A$42,Input!$A$77:$A$82,0),MATCH('Residential Bills_Yr 1_avg'!AD13,Input!$C$76:$AL$76,0))</f>
        <v>0.05</v>
      </c>
      <c r="AE42" s="30">
        <f>AF22+AF38+AF41</f>
        <v>75.040000000000006</v>
      </c>
      <c r="AF42" s="25">
        <f>ROUND(AD42*AE42,2)</f>
        <v>3.75</v>
      </c>
      <c r="AH42" s="29">
        <f>INDEX(Input!$C$77:$AL$82,MATCH('Residential Bills_Yr 1_avg'!$A$42,Input!$A$77:$A$82,0),MATCH('Residential Bills_Yr 1_avg'!AH13,Input!$C$76:$AL$76,0))</f>
        <v>0.05</v>
      </c>
      <c r="AI42" s="30">
        <f>AJ22+AJ38+AJ41</f>
        <v>75.040000000000006</v>
      </c>
      <c r="AJ42" s="25">
        <f>ROUND(AH42*AI42,2)</f>
        <v>3.75</v>
      </c>
      <c r="AL42" s="29">
        <f>INDEX(Input!$C$77:$AL$82,MATCH('Residential Bills_Yr 1_avg'!$A$42,Input!$A$77:$A$82,0),MATCH('Residential Bills_Yr 1_avg'!AL13,Input!$C$76:$AL$76,0))</f>
        <v>0.05</v>
      </c>
      <c r="AM42" s="30">
        <f>AN22+AN38+AN41</f>
        <v>75.040000000000006</v>
      </c>
      <c r="AN42" s="25">
        <f>ROUND(AL42*AM42,2)</f>
        <v>3.75</v>
      </c>
      <c r="AP42" s="29">
        <f>INDEX(Input!$C$77:$AL$82,MATCH('Residential Bills_Yr 1_avg'!$A$42,Input!$A$77:$A$82,0),MATCH('Residential Bills_Yr 1_avg'!AP13,Input!$C$76:$AL$76,0))</f>
        <v>0.05</v>
      </c>
      <c r="AQ42" s="30">
        <f>AR22+AR38+AR41</f>
        <v>71.8</v>
      </c>
      <c r="AR42" s="25">
        <f>ROUND(AP42*AQ42,2)</f>
        <v>3.59</v>
      </c>
      <c r="AS42" s="17"/>
      <c r="AT42" s="29">
        <f>INDEX(Input!$C$77:$AL$82,MATCH('Residential Bills_Yr 1_avg'!$A$42,Input!$A$77:$A$82,0),MATCH('Residential Bills_Yr 1_avg'!AT13,Input!$C$76:$AL$76,0))</f>
        <v>0.05</v>
      </c>
      <c r="AU42" s="30">
        <f>AV22+AV38+AV41</f>
        <v>77.53</v>
      </c>
      <c r="AV42" s="25">
        <f>ROUND(AT42*AU42,2)</f>
        <v>3.88</v>
      </c>
    </row>
    <row r="43" spans="1:48" ht="14.5" customHeight="1" x14ac:dyDescent="0.55000000000000004">
      <c r="A43" t="str">
        <f>+Input!A79</f>
        <v>Reserved</v>
      </c>
      <c r="B43" s="29"/>
      <c r="C43" s="17"/>
      <c r="D43" s="19"/>
      <c r="F43" s="29"/>
      <c r="G43" s="17"/>
      <c r="H43" s="19"/>
      <c r="J43" s="29"/>
      <c r="K43" s="17"/>
      <c r="L43" s="19"/>
      <c r="N43" s="29"/>
      <c r="O43" s="17"/>
      <c r="P43" s="19"/>
      <c r="R43" s="29"/>
      <c r="S43" s="17"/>
      <c r="T43" s="19"/>
      <c r="V43" s="29"/>
      <c r="W43" s="17"/>
      <c r="X43" s="19"/>
      <c r="Z43" s="29"/>
      <c r="AA43" s="17"/>
      <c r="AB43" s="19"/>
      <c r="AD43" s="29"/>
      <c r="AE43" s="17"/>
      <c r="AF43" s="19"/>
      <c r="AH43" s="29"/>
      <c r="AI43" s="17"/>
      <c r="AJ43" s="19"/>
      <c r="AL43" s="29"/>
      <c r="AM43" s="17"/>
      <c r="AN43" s="19"/>
      <c r="AP43" s="29"/>
      <c r="AQ43" s="17"/>
      <c r="AR43" s="19"/>
      <c r="AS43" s="17"/>
      <c r="AT43" s="29"/>
      <c r="AU43" s="17"/>
      <c r="AV43" s="19"/>
    </row>
    <row r="44" spans="1:48" ht="14.5" customHeight="1" x14ac:dyDescent="0.55000000000000004">
      <c r="A44" t="str">
        <f>+Input!A80</f>
        <v>Reserved</v>
      </c>
      <c r="B44" s="29"/>
      <c r="C44" s="17"/>
      <c r="D44" s="19"/>
      <c r="F44" s="29"/>
      <c r="G44" s="17"/>
      <c r="H44" s="19"/>
      <c r="J44" s="29"/>
      <c r="K44" s="17"/>
      <c r="L44" s="19"/>
      <c r="N44" s="29"/>
      <c r="O44" s="17"/>
      <c r="P44" s="19"/>
      <c r="R44" s="29"/>
      <c r="S44" s="17"/>
      <c r="T44" s="19"/>
      <c r="V44" s="29"/>
      <c r="W44" s="17"/>
      <c r="X44" s="19"/>
      <c r="Z44" s="29"/>
      <c r="AA44" s="17"/>
      <c r="AB44" s="19"/>
      <c r="AD44" s="29"/>
      <c r="AE44" s="17"/>
      <c r="AF44" s="19"/>
      <c r="AH44" s="29"/>
      <c r="AI44" s="17"/>
      <c r="AJ44" s="19"/>
      <c r="AL44" s="29"/>
      <c r="AM44" s="17"/>
      <c r="AN44" s="19"/>
      <c r="AP44" s="29"/>
      <c r="AQ44" s="17"/>
      <c r="AR44" s="19"/>
      <c r="AS44" s="17"/>
      <c r="AT44" s="29"/>
      <c r="AU44" s="17"/>
      <c r="AV44" s="19"/>
    </row>
    <row r="45" spans="1:48" ht="14.5" customHeight="1" x14ac:dyDescent="0.55000000000000004">
      <c r="A45" t="str">
        <f>+Input!A81</f>
        <v>Reserved</v>
      </c>
      <c r="B45" s="29"/>
      <c r="C45" s="17"/>
      <c r="D45" s="19"/>
      <c r="F45" s="29"/>
      <c r="G45" s="17"/>
      <c r="H45" s="19"/>
      <c r="J45" s="29"/>
      <c r="K45" s="17"/>
      <c r="L45" s="19"/>
      <c r="N45" s="29"/>
      <c r="O45" s="17"/>
      <c r="P45" s="19"/>
      <c r="R45" s="29"/>
      <c r="S45" s="17"/>
      <c r="T45" s="19"/>
      <c r="V45" s="29"/>
      <c r="W45" s="17"/>
      <c r="X45" s="19"/>
      <c r="Z45" s="29"/>
      <c r="AA45" s="17"/>
      <c r="AB45" s="19"/>
      <c r="AD45" s="29"/>
      <c r="AE45" s="17"/>
      <c r="AF45" s="19"/>
      <c r="AH45" s="29"/>
      <c r="AI45" s="17"/>
      <c r="AJ45" s="19"/>
      <c r="AL45" s="29"/>
      <c r="AM45" s="17"/>
      <c r="AN45" s="19"/>
      <c r="AP45" s="29"/>
      <c r="AQ45" s="17"/>
      <c r="AR45" s="19"/>
      <c r="AS45" s="17"/>
      <c r="AT45" s="29"/>
      <c r="AU45" s="17"/>
      <c r="AV45" s="19"/>
    </row>
    <row r="46" spans="1:48" ht="14.5" customHeight="1" x14ac:dyDescent="0.55000000000000004">
      <c r="A46" t="str">
        <f>+Input!A82</f>
        <v>Reserved</v>
      </c>
      <c r="B46" s="29"/>
      <c r="C46" s="17"/>
      <c r="D46" s="19"/>
      <c r="F46" s="29"/>
      <c r="G46" s="17"/>
      <c r="H46" s="19"/>
      <c r="J46" s="29"/>
      <c r="K46" s="17"/>
      <c r="L46" s="19"/>
      <c r="N46" s="29"/>
      <c r="O46" s="17"/>
      <c r="P46" s="19"/>
      <c r="R46" s="29"/>
      <c r="S46" s="17"/>
      <c r="T46" s="19"/>
      <c r="V46" s="29"/>
      <c r="W46" s="17"/>
      <c r="X46" s="19"/>
      <c r="Z46" s="29"/>
      <c r="AA46" s="17"/>
      <c r="AB46" s="19"/>
      <c r="AD46" s="29"/>
      <c r="AE46" s="17"/>
      <c r="AF46" s="19"/>
      <c r="AH46" s="29"/>
      <c r="AI46" s="17"/>
      <c r="AJ46" s="19"/>
      <c r="AL46" s="29"/>
      <c r="AM46" s="17"/>
      <c r="AN46" s="19"/>
      <c r="AP46" s="29"/>
      <c r="AQ46" s="17"/>
      <c r="AR46" s="19"/>
      <c r="AS46" s="17"/>
      <c r="AT46" s="29"/>
      <c r="AU46" s="17"/>
      <c r="AV46" s="19"/>
    </row>
    <row r="47" spans="1:48" x14ac:dyDescent="0.55000000000000004">
      <c r="A47" t="s">
        <v>39</v>
      </c>
      <c r="B47" s="16"/>
      <c r="C47" s="17"/>
      <c r="D47" s="25"/>
      <c r="F47" s="16"/>
      <c r="G47" s="17"/>
      <c r="H47" s="25"/>
      <c r="J47" s="16"/>
      <c r="K47" s="17"/>
      <c r="L47" s="25"/>
      <c r="N47" s="16"/>
      <c r="O47" s="17"/>
      <c r="P47" s="25"/>
      <c r="R47" s="16"/>
      <c r="S47" s="17"/>
      <c r="T47" s="25"/>
      <c r="V47" s="16"/>
      <c r="W47" s="17"/>
      <c r="X47" s="25"/>
      <c r="Z47" s="16"/>
      <c r="AA47" s="17"/>
      <c r="AB47" s="25"/>
      <c r="AD47" s="16"/>
      <c r="AE47" s="17"/>
      <c r="AF47" s="25"/>
      <c r="AH47" s="16"/>
      <c r="AI47" s="17"/>
      <c r="AJ47" s="25"/>
      <c r="AL47" s="16"/>
      <c r="AM47" s="17"/>
      <c r="AN47" s="25"/>
      <c r="AP47" s="16"/>
      <c r="AQ47" s="17"/>
      <c r="AR47" s="25"/>
      <c r="AS47" s="17"/>
      <c r="AT47" s="16"/>
      <c r="AU47" s="17"/>
      <c r="AV47" s="25"/>
    </row>
    <row r="48" spans="1:48" x14ac:dyDescent="0.55000000000000004">
      <c r="B48" s="16"/>
      <c r="C48" s="17"/>
      <c r="D48" s="19"/>
      <c r="F48" s="16"/>
      <c r="G48" s="17"/>
      <c r="H48" s="19"/>
      <c r="J48" s="16"/>
      <c r="K48" s="17"/>
      <c r="L48" s="19"/>
      <c r="N48" s="16"/>
      <c r="O48" s="17"/>
      <c r="P48" s="19"/>
      <c r="R48" s="16"/>
      <c r="S48" s="17"/>
      <c r="T48" s="19"/>
      <c r="V48" s="16"/>
      <c r="W48" s="17"/>
      <c r="X48" s="19"/>
      <c r="Z48" s="16"/>
      <c r="AA48" s="17"/>
      <c r="AB48" s="19"/>
      <c r="AD48" s="16"/>
      <c r="AE48" s="17"/>
      <c r="AF48" s="19"/>
      <c r="AH48" s="16"/>
      <c r="AI48" s="17"/>
      <c r="AJ48" s="19"/>
      <c r="AL48" s="16"/>
      <c r="AM48" s="17"/>
      <c r="AN48" s="19"/>
      <c r="AP48" s="16"/>
      <c r="AQ48" s="17"/>
      <c r="AR48" s="19"/>
      <c r="AS48" s="17"/>
      <c r="AT48" s="16"/>
      <c r="AU48" s="17"/>
      <c r="AV48" s="19"/>
    </row>
    <row r="49" spans="1:48" ht="14.7" thickBot="1" x14ac:dyDescent="0.6">
      <c r="A49" t="s">
        <v>40</v>
      </c>
      <c r="B49" s="27"/>
      <c r="C49" s="28"/>
      <c r="D49" s="32">
        <f>D22+D38+D41+D42</f>
        <v>75.460000000000008</v>
      </c>
      <c r="F49" s="27"/>
      <c r="G49" s="28"/>
      <c r="H49" s="32">
        <f>H22+H38+H41+H42</f>
        <v>75.460000000000008</v>
      </c>
      <c r="J49" s="27"/>
      <c r="K49" s="28"/>
      <c r="L49" s="32">
        <f>L22+L38+L41+L42</f>
        <v>75.460000000000008</v>
      </c>
      <c r="N49" s="27"/>
      <c r="O49" s="28"/>
      <c r="P49" s="32">
        <f>P22+P38+P41+P42</f>
        <v>75.460000000000008</v>
      </c>
      <c r="R49" s="27"/>
      <c r="S49" s="28"/>
      <c r="T49" s="32">
        <f>T22+T38+T41+T42</f>
        <v>75.460000000000008</v>
      </c>
      <c r="V49" s="27"/>
      <c r="W49" s="28"/>
      <c r="X49" s="32">
        <f>X22+X38+X41+X42</f>
        <v>75.460000000000008</v>
      </c>
      <c r="Z49" s="27"/>
      <c r="AA49" s="28"/>
      <c r="AB49" s="32">
        <f>AB22+AB38+AB41+AB42</f>
        <v>78.790000000000006</v>
      </c>
      <c r="AD49" s="27"/>
      <c r="AE49" s="28"/>
      <c r="AF49" s="32">
        <f>AF22+AF38+AF41+AF42</f>
        <v>78.790000000000006</v>
      </c>
      <c r="AH49" s="27"/>
      <c r="AI49" s="28"/>
      <c r="AJ49" s="32">
        <f>AJ22+AJ38+AJ41+AJ42</f>
        <v>78.790000000000006</v>
      </c>
      <c r="AL49" s="27"/>
      <c r="AM49" s="28"/>
      <c r="AN49" s="32">
        <f>AN22+AN38+AN41+AN42</f>
        <v>78.790000000000006</v>
      </c>
      <c r="AP49" s="27"/>
      <c r="AQ49" s="28"/>
      <c r="AR49" s="32">
        <f>AR22+AR38+AR41+AR42</f>
        <v>75.39</v>
      </c>
      <c r="AS49" s="176"/>
      <c r="AT49" s="27"/>
      <c r="AU49" s="28"/>
      <c r="AV49" s="32">
        <f>AV22+AV38+AV41+AV42</f>
        <v>81.41</v>
      </c>
    </row>
    <row r="51" spans="1:48" x14ac:dyDescent="0.55000000000000004">
      <c r="A51" t="s">
        <v>81</v>
      </c>
    </row>
    <row r="52" spans="1:48" ht="14.7" thickBot="1" x14ac:dyDescent="0.6"/>
    <row r="53" spans="1:48" x14ac:dyDescent="0.55000000000000004">
      <c r="A53" s="11" t="s">
        <v>83</v>
      </c>
      <c r="B53" s="12">
        <f>B5</f>
        <v>2022</v>
      </c>
    </row>
    <row r="54" spans="1:48" x14ac:dyDescent="0.55000000000000004">
      <c r="A54" s="13" t="s">
        <v>6</v>
      </c>
      <c r="B54" s="14" t="str">
        <f>B6</f>
        <v>3/4"</v>
      </c>
    </row>
    <row r="55" spans="1:48" x14ac:dyDescent="0.55000000000000004">
      <c r="A55" s="13" t="s">
        <v>41</v>
      </c>
      <c r="B55" s="14">
        <v>6</v>
      </c>
    </row>
    <row r="56" spans="1:48" x14ac:dyDescent="0.55000000000000004">
      <c r="A56" s="13" t="s">
        <v>8</v>
      </c>
      <c r="B56" s="14" t="str">
        <f>B8</f>
        <v>Residential</v>
      </c>
    </row>
    <row r="57" spans="1:48" x14ac:dyDescent="0.55000000000000004">
      <c r="A57" s="13" t="s">
        <v>89</v>
      </c>
      <c r="B57" s="14" t="s">
        <v>26</v>
      </c>
    </row>
    <row r="58" spans="1:48" x14ac:dyDescent="0.55000000000000004">
      <c r="A58" s="13" t="s">
        <v>51</v>
      </c>
      <c r="B58" s="14" t="str">
        <f>B10</f>
        <v>San Jose Water Company</v>
      </c>
    </row>
    <row r="59" spans="1:48" ht="14.7" thickBot="1" x14ac:dyDescent="0.6">
      <c r="A59" s="15" t="s">
        <v>28</v>
      </c>
      <c r="B59" s="35" t="str">
        <f>B11</f>
        <v>San Jose Water Company</v>
      </c>
    </row>
    <row r="60" spans="1:48" ht="14.7" thickBot="1" x14ac:dyDescent="0.6">
      <c r="A60" s="34"/>
      <c r="B60" s="24"/>
    </row>
    <row r="61" spans="1:48" ht="14.7" thickBot="1" x14ac:dyDescent="0.6">
      <c r="A61" s="1"/>
      <c r="B61" s="209" t="str">
        <f>CONCATENATE("January"," ",$B$5)</f>
        <v>January 2022</v>
      </c>
      <c r="C61" s="210"/>
      <c r="D61" s="211"/>
      <c r="F61" s="209" t="str">
        <f>CONCATENATE("February"," ",$B$5)</f>
        <v>February 2022</v>
      </c>
      <c r="G61" s="210"/>
      <c r="H61" s="211"/>
      <c r="J61" s="209" t="str">
        <f>CONCATENATE("March"," ",$B$5)</f>
        <v>March 2022</v>
      </c>
      <c r="K61" s="210"/>
      <c r="L61" s="211"/>
      <c r="N61" s="209" t="str">
        <f>CONCATENATE("April"," ",$B$5)</f>
        <v>April 2022</v>
      </c>
      <c r="O61" s="210"/>
      <c r="P61" s="211"/>
      <c r="R61" s="209" t="str">
        <f>CONCATENATE("May"," ",$B$5)</f>
        <v>May 2022</v>
      </c>
      <c r="S61" s="210"/>
      <c r="T61" s="211"/>
      <c r="V61" s="209" t="str">
        <f>CONCATENATE("June"," ",$B$5)</f>
        <v>June 2022</v>
      </c>
      <c r="W61" s="210"/>
      <c r="X61" s="211"/>
      <c r="Z61" s="209" t="str">
        <f>CONCATENATE("July"," ",$B$5)</f>
        <v>July 2022</v>
      </c>
      <c r="AA61" s="210"/>
      <c r="AB61" s="211"/>
      <c r="AD61" s="209" t="str">
        <f>CONCATENATE("August"," ",$B$5)</f>
        <v>August 2022</v>
      </c>
      <c r="AE61" s="210"/>
      <c r="AF61" s="211"/>
      <c r="AH61" s="209" t="str">
        <f>CONCATENATE("September"," ",$B$5)</f>
        <v>September 2022</v>
      </c>
      <c r="AI61" s="210"/>
      <c r="AJ61" s="211"/>
      <c r="AL61" s="209" t="str">
        <f>CONCATENATE("October"," ",$B$5)</f>
        <v>October 2022</v>
      </c>
      <c r="AM61" s="210"/>
      <c r="AN61" s="211"/>
      <c r="AP61" s="209" t="str">
        <f>CONCATENATE("November"," ",$B$5)</f>
        <v>November 2022</v>
      </c>
      <c r="AQ61" s="210"/>
      <c r="AR61" s="211"/>
      <c r="AS61" s="171"/>
      <c r="AT61" s="209" t="str">
        <f>CONCATENATE("December"," ",$B$5)</f>
        <v>December 2022</v>
      </c>
      <c r="AU61" s="210"/>
      <c r="AV61" s="211"/>
    </row>
    <row r="62" spans="1:48" x14ac:dyDescent="0.55000000000000004">
      <c r="A62" s="1" t="s">
        <v>5</v>
      </c>
      <c r="B62" s="16"/>
      <c r="C62" s="17"/>
      <c r="D62" s="18">
        <f>INDEX(Input!$C$28:$AL$42,MATCH('Residential Bills_Yr 1_6 Units'!$B$54,Input!$A$28:$A$42,0),MATCH('Residential Bills_Yr 1_6 Units'!B$61,Input!$C$27:$AL$27,0))</f>
        <v>41.69</v>
      </c>
      <c r="F62" s="16"/>
      <c r="G62" s="17"/>
      <c r="H62" s="18">
        <f>INDEX(Input!$C$28:$AL$42,MATCH('Residential Bills_Yr 1_6 Units'!$B$54,Input!$A$28:$A$42,0),MATCH('Residential Bills_Yr 1_6 Units'!F$61,Input!$C$27:$AL$27,0))</f>
        <v>41.69</v>
      </c>
      <c r="J62" s="16"/>
      <c r="K62" s="17"/>
      <c r="L62" s="18">
        <f>INDEX(Input!$C$28:$AL$42,MATCH('Residential Bills_Yr 1_6 Units'!$B$54,Input!$A$28:$A$42,0),MATCH('Residential Bills_Yr 1_6 Units'!J$61,Input!$C$27:$AL$27,0))</f>
        <v>41.69</v>
      </c>
      <c r="N62" s="16"/>
      <c r="O62" s="17"/>
      <c r="P62" s="18">
        <f>INDEX(Input!$C$28:$AL$42,MATCH('Residential Bills_Yr 1_6 Units'!$B$54,Input!$A$28:$A$42,0),MATCH('Residential Bills_Yr 1_6 Units'!N$61,Input!$C$27:$AL$27,0))</f>
        <v>41.69</v>
      </c>
      <c r="R62" s="16"/>
      <c r="S62" s="17"/>
      <c r="T62" s="18">
        <f>INDEX(Input!$C$28:$AL$42,MATCH('Residential Bills_Yr 1_6 Units'!$B$54,Input!$A$28:$A$42,0),MATCH('Residential Bills_Yr 1_6 Units'!R$61,Input!$C$27:$AL$27,0))</f>
        <v>41.69</v>
      </c>
      <c r="V62" s="16"/>
      <c r="W62" s="17"/>
      <c r="X62" s="18">
        <f>INDEX(Input!$C$28:$AL$42,MATCH('Residential Bills_Yr 1_6 Units'!$B$54,Input!$A$28:$A$42,0),MATCH('Residential Bills_Yr 1_6 Units'!V$61,Input!$C$27:$AL$27,0))</f>
        <v>41.69</v>
      </c>
      <c r="Z62" s="16"/>
      <c r="AA62" s="17"/>
      <c r="AB62" s="18">
        <f>INDEX(Input!$C$28:$AL$42,MATCH('Residential Bills_Yr 1_6 Units'!$B$54,Input!$A$28:$A$42,0),MATCH('Residential Bills_Yr 1_6 Units'!Z$61,Input!$C$27:$AL$27,0))</f>
        <v>41.71</v>
      </c>
      <c r="AD62" s="16"/>
      <c r="AE62" s="17"/>
      <c r="AF62" s="18">
        <f>INDEX(Input!$C$28:$AL$42,MATCH('Residential Bills_Yr 1_6 Units'!$B$54,Input!$A$28:$A$42,0),MATCH('Residential Bills_Yr 1_6 Units'!AD$61,Input!$C$27:$AL$27,0))</f>
        <v>41.71</v>
      </c>
      <c r="AH62" s="16"/>
      <c r="AI62" s="17"/>
      <c r="AJ62" s="18">
        <f>INDEX(Input!$C$28:$AL$42,MATCH('Residential Bills_Yr 1_6 Units'!$B$54,Input!$A$28:$A$42,0),MATCH('Residential Bills_Yr 1_6 Units'!AH$61,Input!$C$27:$AL$27,0))</f>
        <v>41.71</v>
      </c>
      <c r="AL62" s="16"/>
      <c r="AM62" s="17"/>
      <c r="AN62" s="18">
        <f>INDEX(Input!$C$28:$AL$42,MATCH('Residential Bills_Yr 1_6 Units'!$B$54,Input!$A$28:$A$42,0),MATCH('Residential Bills_Yr 1_6 Units'!AL$61,Input!$C$27:$AL$27,0))</f>
        <v>41.71</v>
      </c>
      <c r="AP62" s="16"/>
      <c r="AQ62" s="17"/>
      <c r="AR62" s="18">
        <f>INDEX(Input!$C$28:$AL$42,MATCH('Residential Bills_Yr 1_6 Units'!$B$54,Input!$A$28:$A$42,0),MATCH('Residential Bills_Yr 1_6 Units'!AP$61,Input!$C$27:$AL$27,0))</f>
        <v>50.88</v>
      </c>
      <c r="AS62" s="175"/>
      <c r="AT62" s="16"/>
      <c r="AU62" s="17"/>
      <c r="AV62" s="18">
        <f>INDEX(Input!$C$28:$AL$42,MATCH('Residential Bills_Yr 1_6 Units'!$B$54,Input!$A$28:$A$42,0),MATCH('Residential Bills_Yr 1_6 Units'!AT$61,Input!$C$27:$AL$27,0))</f>
        <v>50.88</v>
      </c>
    </row>
    <row r="63" spans="1:48" x14ac:dyDescent="0.55000000000000004">
      <c r="B63" s="16"/>
      <c r="C63" s="17"/>
      <c r="D63" s="19"/>
      <c r="F63" s="16"/>
      <c r="G63" s="17"/>
      <c r="H63" s="19"/>
      <c r="J63" s="16"/>
      <c r="K63" s="17"/>
      <c r="L63" s="19"/>
      <c r="N63" s="16"/>
      <c r="O63" s="17"/>
      <c r="P63" s="19"/>
      <c r="R63" s="16"/>
      <c r="S63" s="17"/>
      <c r="T63" s="19"/>
      <c r="V63" s="16"/>
      <c r="W63" s="17"/>
      <c r="X63" s="19"/>
      <c r="Z63" s="16"/>
      <c r="AA63" s="17"/>
      <c r="AB63" s="19"/>
      <c r="AD63" s="16"/>
      <c r="AE63" s="17"/>
      <c r="AF63" s="19"/>
      <c r="AH63" s="16"/>
      <c r="AI63" s="17"/>
      <c r="AJ63" s="19"/>
      <c r="AL63" s="16"/>
      <c r="AM63" s="17"/>
      <c r="AN63" s="19"/>
      <c r="AP63" s="16"/>
      <c r="AQ63" s="17"/>
      <c r="AR63" s="19"/>
      <c r="AS63" s="17"/>
      <c r="AT63" s="16"/>
      <c r="AU63" s="17"/>
      <c r="AV63" s="19"/>
    </row>
    <row r="64" spans="1:48" ht="16.5" customHeight="1" x14ac:dyDescent="0.55000000000000004">
      <c r="A64" s="1" t="s">
        <v>33</v>
      </c>
      <c r="B64" s="20" t="s">
        <v>29</v>
      </c>
      <c r="C64" s="21" t="s">
        <v>7</v>
      </c>
      <c r="D64" s="22" t="s">
        <v>30</v>
      </c>
      <c r="F64" s="20" t="s">
        <v>29</v>
      </c>
      <c r="G64" s="21" t="s">
        <v>7</v>
      </c>
      <c r="H64" s="111" t="s">
        <v>30</v>
      </c>
      <c r="J64" s="20" t="s">
        <v>29</v>
      </c>
      <c r="K64" s="21" t="s">
        <v>7</v>
      </c>
      <c r="L64" s="111" t="s">
        <v>30</v>
      </c>
      <c r="N64" s="20" t="s">
        <v>29</v>
      </c>
      <c r="O64" s="21" t="s">
        <v>7</v>
      </c>
      <c r="P64" s="111" t="s">
        <v>30</v>
      </c>
      <c r="R64" s="20" t="s">
        <v>29</v>
      </c>
      <c r="S64" s="21" t="s">
        <v>7</v>
      </c>
      <c r="T64" s="111" t="s">
        <v>30</v>
      </c>
      <c r="V64" s="20" t="s">
        <v>29</v>
      </c>
      <c r="W64" s="21" t="s">
        <v>7</v>
      </c>
      <c r="X64" s="111" t="s">
        <v>30</v>
      </c>
      <c r="Z64" s="20" t="s">
        <v>29</v>
      </c>
      <c r="AA64" s="21" t="s">
        <v>7</v>
      </c>
      <c r="AB64" s="111" t="s">
        <v>30</v>
      </c>
      <c r="AD64" s="20" t="s">
        <v>29</v>
      </c>
      <c r="AE64" s="21" t="s">
        <v>7</v>
      </c>
      <c r="AF64" s="111" t="s">
        <v>30</v>
      </c>
      <c r="AH64" s="20" t="s">
        <v>29</v>
      </c>
      <c r="AI64" s="21" t="s">
        <v>7</v>
      </c>
      <c r="AJ64" s="111" t="s">
        <v>30</v>
      </c>
      <c r="AL64" s="20" t="s">
        <v>29</v>
      </c>
      <c r="AM64" s="21" t="s">
        <v>7</v>
      </c>
      <c r="AN64" s="111" t="s">
        <v>30</v>
      </c>
      <c r="AP64" s="20" t="s">
        <v>29</v>
      </c>
      <c r="AQ64" s="21" t="s">
        <v>7</v>
      </c>
      <c r="AR64" s="111" t="s">
        <v>30</v>
      </c>
      <c r="AS64" s="170"/>
      <c r="AT64" s="20" t="s">
        <v>29</v>
      </c>
      <c r="AU64" s="21" t="s">
        <v>7</v>
      </c>
      <c r="AV64" s="111" t="s">
        <v>30</v>
      </c>
    </row>
    <row r="65" spans="1:48" x14ac:dyDescent="0.55000000000000004">
      <c r="A65" t="str">
        <f>A17</f>
        <v>Tier 1</v>
      </c>
      <c r="B65" s="23">
        <f>INDEX(Input!$C$21:$AL$25,MATCH('Residential Bills_Yr 1_6 Units'!$A65,Input!$A$21:$A$25,0),MATCH('Residential Bills_Yr 1_6 Units'!B$61,Input!$C$20:$AL$20,0))</f>
        <v>3.7563</v>
      </c>
      <c r="C65" s="24">
        <f>IF($B$55&gt;Input!F87,Input!F87,'Residential Bills_Yr 1_6 Units'!$B$55)</f>
        <v>3</v>
      </c>
      <c r="D65" s="25">
        <f>ROUND(IFERROR(B65*C65," "),2)</f>
        <v>11.27</v>
      </c>
      <c r="F65" s="23">
        <f>INDEX(Input!$C$21:$AL$25,MATCH('Residential Bills_Yr 1_6 Units'!$A65,Input!$A$21:$A$25,0),MATCH('Residential Bills_Yr 1_6 Units'!F$61,Input!$C$20:$AL$20,0))</f>
        <v>3.7563</v>
      </c>
      <c r="G65" s="24">
        <f>IF($B$55&gt;Input!G87,Input!G87,'Residential Bills_Yr 1_6 Units'!$B$55)</f>
        <v>3</v>
      </c>
      <c r="H65" s="25">
        <f>ROUND(IFERROR(F65*G65," "),2)</f>
        <v>11.27</v>
      </c>
      <c r="J65" s="23">
        <f>INDEX(Input!$C$21:$AL$25,MATCH('Residential Bills_Yr 1_6 Units'!$A65,Input!$A$21:$A$25,0),MATCH('Residential Bills_Yr 1_6 Units'!J$61,Input!$C$20:$AL$20,0))</f>
        <v>3.7563</v>
      </c>
      <c r="K65" s="24">
        <f>IF($B$55&gt;Input!H87,Input!H87,'Residential Bills_Yr 1_6 Units'!$B$55)</f>
        <v>3</v>
      </c>
      <c r="L65" s="25">
        <f>ROUND(IFERROR(J65*K65," "),2)</f>
        <v>11.27</v>
      </c>
      <c r="N65" s="23">
        <f>INDEX(Input!$C$21:$AL$25,MATCH('Residential Bills_Yr 1_6 Units'!$A65,Input!$A$21:$A$25,0),MATCH('Residential Bills_Yr 1_6 Units'!N$61,Input!$C$20:$AL$20,0))</f>
        <v>3.7563</v>
      </c>
      <c r="O65" s="24">
        <f>IF($B$55&gt;Input!I87,Input!I87,'Residential Bills_Yr 1_6 Units'!$B$55)</f>
        <v>3</v>
      </c>
      <c r="P65" s="25">
        <f>ROUND(IFERROR(N65*O65," "),2)</f>
        <v>11.27</v>
      </c>
      <c r="R65" s="23">
        <f>INDEX(Input!$C$21:$AL$25,MATCH('Residential Bills_Yr 1_6 Units'!$A65,Input!$A$21:$A$25,0),MATCH('Residential Bills_Yr 1_6 Units'!R$61,Input!$C$20:$AL$20,0))</f>
        <v>3.7563</v>
      </c>
      <c r="S65" s="24">
        <f>IF($B$55&gt;Input!J87,Input!J87,'Residential Bills_Yr 1_6 Units'!$B$55)</f>
        <v>3</v>
      </c>
      <c r="T65" s="25">
        <f>ROUND(IFERROR(R65*S65," "),2)</f>
        <v>11.27</v>
      </c>
      <c r="V65" s="23">
        <f>INDEX(Input!$C$21:$AL$25,MATCH('Residential Bills_Yr 1_6 Units'!$A65,Input!$A$21:$A$25,0),MATCH('Residential Bills_Yr 1_6 Units'!V$61,Input!$C$20:$AL$20,0))</f>
        <v>3.7563</v>
      </c>
      <c r="W65" s="24">
        <f>IF($B$55&gt;Input!K87,Input!K87,'Residential Bills_Yr 1_6 Units'!$B$55)</f>
        <v>3</v>
      </c>
      <c r="X65" s="25">
        <f>ROUND(IFERROR(V65*W65," "),2)</f>
        <v>11.27</v>
      </c>
      <c r="Z65" s="23">
        <f>INDEX(Input!$C$21:$AL$25,MATCH('Residential Bills_Yr 1_6 Units'!$A65,Input!$A$21:$A$25,0),MATCH('Residential Bills_Yr 1_6 Units'!Z$61,Input!$C$20:$AL$20,0))</f>
        <v>4.2720000000000002</v>
      </c>
      <c r="AA65" s="24">
        <f>IF($B$55&gt;Input!L87,Input!L87,'Residential Bills_Yr 1_6 Units'!$B$55)</f>
        <v>3</v>
      </c>
      <c r="AB65" s="25">
        <f>ROUND(IFERROR(Z65*AA65," "),2)</f>
        <v>12.82</v>
      </c>
      <c r="AD65" s="23">
        <f>INDEX(Input!$C$21:$AL$25,MATCH('Residential Bills_Yr 1_6 Units'!$A65,Input!$A$21:$A$25,0),MATCH('Residential Bills_Yr 1_6 Units'!AD$61,Input!$C$20:$AL$20,0))</f>
        <v>4.2720000000000002</v>
      </c>
      <c r="AE65" s="24">
        <f>IF($B$55&gt;Input!M87,Input!M87,'Residential Bills_Yr 1_6 Units'!$B$55)</f>
        <v>3</v>
      </c>
      <c r="AF65" s="25">
        <f>ROUND(IFERROR(AD65*AE65," "),2)</f>
        <v>12.82</v>
      </c>
      <c r="AH65" s="23">
        <f>INDEX(Input!$C$21:$AL$25,MATCH('Residential Bills_Yr 1_6 Units'!$A65,Input!$A$21:$A$25,0),MATCH('Residential Bills_Yr 1_6 Units'!AH$61,Input!$C$20:$AL$20,0))</f>
        <v>4.2720000000000002</v>
      </c>
      <c r="AI65" s="24">
        <f>IF($B$55&gt;Input!N87,Input!N87,'Residential Bills_Yr 1_6 Units'!$B$55)</f>
        <v>3</v>
      </c>
      <c r="AJ65" s="25">
        <f>ROUND(IFERROR(AH65*AI65," "),2)</f>
        <v>12.82</v>
      </c>
      <c r="AL65" s="23">
        <f>INDEX(Input!$C$21:$AL$25,MATCH('Residential Bills_Yr 1_6 Units'!$A65,Input!$A$21:$A$25,0),MATCH('Residential Bills_Yr 1_6 Units'!AL$61,Input!$C$20:$AL$20,0))</f>
        <v>4.2720000000000002</v>
      </c>
      <c r="AM65" s="24">
        <f>IF($B$55&gt;Input!O87,Input!O87,'Residential Bills_Yr 1_6 Units'!$B$55)</f>
        <v>3</v>
      </c>
      <c r="AN65" s="25">
        <f>ROUND(IFERROR(AL65*AM65," "),2)</f>
        <v>12.82</v>
      </c>
      <c r="AP65" s="23">
        <f>INDEX(Input!$C$21:$AL$25,MATCH('Residential Bills_Yr 1_6 Units'!$A65,Input!$A$21:$A$25,0),MATCH('Residential Bills_Yr 1_6 Units'!AP$61,Input!$C$20:$AL$20,0))</f>
        <v>4.0001999999999995</v>
      </c>
      <c r="AQ65" s="24">
        <f>IF($B$55&gt;Input!P87,Input!P87,'Residential Bills_Yr 1_6 Units'!$B$55)</f>
        <v>6</v>
      </c>
      <c r="AR65" s="25">
        <f>ROUND(IFERROR(AP65*AQ65," "),2)</f>
        <v>24</v>
      </c>
      <c r="AS65" s="30"/>
      <c r="AT65" s="23">
        <f>INDEX(Input!$C$21:$AL$25,MATCH('Residential Bills_Yr 1_6 Units'!$A65,Input!$A$21:$A$25,0),MATCH('Residential Bills_Yr 1_6 Units'!AT$61,Input!$C$20:$AL$20,0))</f>
        <v>4.0001999999999995</v>
      </c>
      <c r="AU65" s="24">
        <f>IF($B$55&gt;Input!Q87,Input!Q87,'Residential Bills_Yr 1_6 Units'!$B$55)</f>
        <v>6</v>
      </c>
      <c r="AV65" s="25">
        <f>ROUND(IFERROR(AT65*AU65," "),2)</f>
        <v>24</v>
      </c>
    </row>
    <row r="66" spans="1:48" x14ac:dyDescent="0.55000000000000004">
      <c r="A66" t="str">
        <f>A18</f>
        <v>Tier 2</v>
      </c>
      <c r="B66" s="23">
        <f>INDEX(Input!$C$21:$AL$25,MATCH('Residential Bills_Yr 1_6 Units'!$A66,Input!$A$21:$A$25,0),MATCH('Residential Bills_Yr 1_6 Units'!B$61,Input!$C$20:$AL$20,0))</f>
        <v>5.4452999999999996</v>
      </c>
      <c r="C66" s="24">
        <f>IF(($B$55-C65)&gt;Input!F88,Input!F88,($B$55-C65))</f>
        <v>3</v>
      </c>
      <c r="D66" s="25">
        <f>ROUND(IFERROR(B66*C66," "),2)</f>
        <v>16.34</v>
      </c>
      <c r="F66" s="23">
        <f>INDEX(Input!$C$21:$AL$25,MATCH('Residential Bills_Yr 1_6 Units'!$A66,Input!$A$21:$A$25,0),MATCH('Residential Bills_Yr 1_6 Units'!F$61,Input!$C$20:$AL$20,0))</f>
        <v>5.4452999999999996</v>
      </c>
      <c r="G66" s="24">
        <f>IF(($B$55-G65)&gt;Input!G88,Input!G88,($B$55-G65))</f>
        <v>3</v>
      </c>
      <c r="H66" s="25">
        <f>ROUND(IFERROR(F66*G66," "),2)</f>
        <v>16.34</v>
      </c>
      <c r="J66" s="23">
        <f>INDEX(Input!$C$21:$AL$25,MATCH('Residential Bills_Yr 1_6 Units'!$A66,Input!$A$21:$A$25,0),MATCH('Residential Bills_Yr 1_6 Units'!J$61,Input!$C$20:$AL$20,0))</f>
        <v>5.4452999999999996</v>
      </c>
      <c r="K66" s="24">
        <f>IF(($B$55-K65)&gt;Input!H88,Input!H88,($B$55-K65))</f>
        <v>3</v>
      </c>
      <c r="L66" s="25">
        <f>ROUND(IFERROR(J66*K66," "),2)</f>
        <v>16.34</v>
      </c>
      <c r="N66" s="23">
        <f>INDEX(Input!$C$21:$AL$25,MATCH('Residential Bills_Yr 1_6 Units'!$A66,Input!$A$21:$A$25,0),MATCH('Residential Bills_Yr 1_6 Units'!N$61,Input!$C$20:$AL$20,0))</f>
        <v>5.4452999999999996</v>
      </c>
      <c r="O66" s="24">
        <f>IF(($B$55-O65)&gt;Input!I88,Input!I88,($B$55-O65))</f>
        <v>3</v>
      </c>
      <c r="P66" s="25">
        <f>ROUND(IFERROR(N66*O66," "),2)</f>
        <v>16.34</v>
      </c>
      <c r="R66" s="23">
        <f>INDEX(Input!$C$21:$AL$25,MATCH('Residential Bills_Yr 1_6 Units'!$A66,Input!$A$21:$A$25,0),MATCH('Residential Bills_Yr 1_6 Units'!R$61,Input!$C$20:$AL$20,0))</f>
        <v>5.4452999999999996</v>
      </c>
      <c r="S66" s="24">
        <f>IF(($B$55-S65)&gt;Input!J88,Input!J88,($B$55-S65))</f>
        <v>3</v>
      </c>
      <c r="T66" s="25">
        <f>ROUND(IFERROR(R66*S66," "),2)</f>
        <v>16.34</v>
      </c>
      <c r="V66" s="23">
        <f>INDEX(Input!$C$21:$AL$25,MATCH('Residential Bills_Yr 1_6 Units'!$A66,Input!$A$21:$A$25,0),MATCH('Residential Bills_Yr 1_6 Units'!V$61,Input!$C$20:$AL$20,0))</f>
        <v>5.4452999999999996</v>
      </c>
      <c r="W66" s="24">
        <f>IF(($B$55-W65)&gt;Input!K88,Input!K88,($B$55-S65))</f>
        <v>3</v>
      </c>
      <c r="X66" s="25">
        <f>ROUND(IFERROR(V66*W66," "),2)</f>
        <v>16.34</v>
      </c>
      <c r="Z66" s="23">
        <f>INDEX(Input!$C$21:$AL$25,MATCH('Residential Bills_Yr 1_6 Units'!$A66,Input!$A$21:$A$25,0),MATCH('Residential Bills_Yr 1_6 Units'!Z$61,Input!$C$20:$AL$20,0))</f>
        <v>5.9619999999999997</v>
      </c>
      <c r="AA66" s="24">
        <f>IF(($B$55-AA65)&gt;Input!L88,Input!L88,($B$55-AA65))</f>
        <v>3</v>
      </c>
      <c r="AB66" s="25">
        <f>ROUND(IFERROR(Z66*AA66," "),2)</f>
        <v>17.89</v>
      </c>
      <c r="AD66" s="23">
        <f>INDEX(Input!$C$21:$AL$25,MATCH('Residential Bills_Yr 1_6 Units'!$A66,Input!$A$21:$A$25,0),MATCH('Residential Bills_Yr 1_6 Units'!AD$61,Input!$C$20:$AL$20,0))</f>
        <v>5.9619999999999997</v>
      </c>
      <c r="AE66" s="24">
        <f>IF(($B$55-AE65)&gt;Input!M88,Input!M88,($B$55-AE65))</f>
        <v>3</v>
      </c>
      <c r="AF66" s="25">
        <f>ROUND(IFERROR(AD66*AE66," "),2)</f>
        <v>17.89</v>
      </c>
      <c r="AH66" s="23">
        <f>INDEX(Input!$C$21:$AL$25,MATCH('Residential Bills_Yr 1_6 Units'!$A66,Input!$A$21:$A$25,0),MATCH('Residential Bills_Yr 1_6 Units'!AH$61,Input!$C$20:$AL$20,0))</f>
        <v>5.9619999999999997</v>
      </c>
      <c r="AI66" s="24">
        <f>IF(($B$55-AI65)&gt;Input!N88,Input!N88,($B$55-AI65))</f>
        <v>3</v>
      </c>
      <c r="AJ66" s="25">
        <f>ROUND(IFERROR(AH66*AI66," "),2)</f>
        <v>17.89</v>
      </c>
      <c r="AL66" s="23">
        <f>INDEX(Input!$C$21:$AL$25,MATCH('Residential Bills_Yr 1_6 Units'!$A66,Input!$A$21:$A$25,0),MATCH('Residential Bills_Yr 1_6 Units'!AL$61,Input!$C$20:$AL$20,0))</f>
        <v>5.9619999999999997</v>
      </c>
      <c r="AM66" s="24">
        <f>IF(($B$55-AM65)&gt;Input!O88,Input!O88,($B$55-AM65))</f>
        <v>3</v>
      </c>
      <c r="AN66" s="25">
        <f>ROUND(IFERROR(AL66*AM66," "),2)</f>
        <v>17.89</v>
      </c>
      <c r="AP66" s="23">
        <f>INDEX(Input!$C$21:$AL$25,MATCH('Residential Bills_Yr 1_6 Units'!$A66,Input!$A$21:$A$25,0),MATCH('Residential Bills_Yr 1_6 Units'!AP$61,Input!$C$20:$AL$20,0))</f>
        <v>5.7175000000000002</v>
      </c>
      <c r="AQ66" s="24">
        <f>IF(($B$55-AQ65)&gt;Input!P88,Input!P88,($B$55-AQ65))</f>
        <v>0</v>
      </c>
      <c r="AR66" s="25">
        <f>ROUND(IFERROR(AP66*AQ66," "),2)</f>
        <v>0</v>
      </c>
      <c r="AS66" s="30"/>
      <c r="AT66" s="23">
        <f>INDEX(Input!$C$21:$AL$25,MATCH('Residential Bills_Yr 1_6 Units'!$A66,Input!$A$21:$A$25,0),MATCH('Residential Bills_Yr 1_6 Units'!AT$61,Input!$C$20:$AL$20,0))</f>
        <v>5.7175000000000002</v>
      </c>
      <c r="AU66" s="24">
        <f>IF(($B$55-AU65)&gt;Input!Q88,Input!Q88,($B$55-AU65))</f>
        <v>0</v>
      </c>
      <c r="AV66" s="25">
        <f>ROUND(IFERROR(AT66*AU66," "),2)</f>
        <v>0</v>
      </c>
    </row>
    <row r="67" spans="1:48" x14ac:dyDescent="0.55000000000000004">
      <c r="A67" t="str">
        <f>A19</f>
        <v>Tier 3</v>
      </c>
      <c r="B67" s="23">
        <f>INDEX(Input!$C$21:$AL$25,MATCH('Residential Bills_Yr 1_6 Units'!$A67,Input!$A$21:$A$25,0),MATCH('Residential Bills_Yr 1_6 Units'!B$61,Input!$C$20:$AL$20,0))</f>
        <v>7.1337999999999999</v>
      </c>
      <c r="C67" s="24">
        <f>IF(OR(Input!F128="Tier 4",Input!F128="Tier 5"),IF(('Residential Bills_Yr 1_6 Units'!$B$55-'Residential Bills_Yr 1_6 Units'!C65-'Residential Bills_Yr 1_6 Units'!C66)&gt;Input!F89,Input!F89,('Residential Bills_Yr 1_6 Units'!$B$55-'Residential Bills_Yr 1_6 Units'!C65-'Residential Bills_Yr 1_6 Units'!C66)),('Residential Bills_Yr 1_6 Units'!$B$55-'Residential Bills_Yr 1_6 Units'!C65-'Residential Bills_Yr 1_6 Units'!C66))</f>
        <v>0</v>
      </c>
      <c r="D67" s="25">
        <f>ROUND(IFERROR(B67*C67," "),2)</f>
        <v>0</v>
      </c>
      <c r="F67" s="23">
        <f>INDEX(Input!$C$21:$AL$25,MATCH('Residential Bills_Yr 1_6 Units'!$A67,Input!$A$21:$A$25,0),MATCH('Residential Bills_Yr 1_6 Units'!F$61,Input!$C$20:$AL$20,0))</f>
        <v>7.1337999999999999</v>
      </c>
      <c r="G67" s="24">
        <f>IF(OR(Input!G128="Tier 4",Input!G128="Tier 5"),IF(('Residential Bills_Yr 1_6 Units'!$B$55-'Residential Bills_Yr 1_6 Units'!G65-'Residential Bills_Yr 1_6 Units'!G66)&gt;Input!G89,Input!G89,('Residential Bills_Yr 1_6 Units'!$B$55-'Residential Bills_Yr 1_6 Units'!G65-'Residential Bills_Yr 1_6 Units'!G66)),('Residential Bills_Yr 1_6 Units'!$B$55-'Residential Bills_Yr 1_6 Units'!G65-'Residential Bills_Yr 1_6 Units'!G66))</f>
        <v>0</v>
      </c>
      <c r="H67" s="25">
        <f>ROUND(IFERROR(F67*G67," "),2)</f>
        <v>0</v>
      </c>
      <c r="J67" s="23">
        <f>INDEX(Input!$C$21:$AL$25,MATCH('Residential Bills_Yr 1_6 Units'!$A67,Input!$A$21:$A$25,0),MATCH('Residential Bills_Yr 1_6 Units'!J$61,Input!$C$20:$AL$20,0))</f>
        <v>7.1337999999999999</v>
      </c>
      <c r="K67" s="24">
        <f>IF(OR(Input!H128="Tier 4",Input!H128="Tier 5"),IF(('Residential Bills_Yr 1_6 Units'!$B$55-'Residential Bills_Yr 1_6 Units'!K65-'Residential Bills_Yr 1_6 Units'!K66)&gt;Input!H89,Input!H89,('Residential Bills_Yr 1_6 Units'!$B$55-'Residential Bills_Yr 1_6 Units'!K65-'Residential Bills_Yr 1_6 Units'!K66)),('Residential Bills_Yr 1_6 Units'!$B$55-'Residential Bills_Yr 1_6 Units'!K65-'Residential Bills_Yr 1_6 Units'!K66))</f>
        <v>0</v>
      </c>
      <c r="L67" s="25">
        <f>ROUND(IFERROR(J67*K67," "),2)</f>
        <v>0</v>
      </c>
      <c r="N67" s="23">
        <f>INDEX(Input!$C$21:$AL$25,MATCH('Residential Bills_Yr 1_6 Units'!$A67,Input!$A$21:$A$25,0),MATCH('Residential Bills_Yr 1_6 Units'!N$61,Input!$C$20:$AL$20,0))</f>
        <v>7.1337999999999999</v>
      </c>
      <c r="O67" s="24">
        <f>IF(OR(Input!I128="Tier 4",Input!I128="Tier 5"),IF(('Residential Bills_Yr 1_6 Units'!$B$55-'Residential Bills_Yr 1_6 Units'!O65-'Residential Bills_Yr 1_6 Units'!O66)&gt;Input!I89,Input!I89,('Residential Bills_Yr 1_6 Units'!$B$55-'Residential Bills_Yr 1_6 Units'!O65-'Residential Bills_Yr 1_6 Units'!O66)),('Residential Bills_Yr 1_6 Units'!$B$55-'Residential Bills_Yr 1_6 Units'!O65-'Residential Bills_Yr 1_6 Units'!O66))</f>
        <v>0</v>
      </c>
      <c r="P67" s="25">
        <f>ROUND(IFERROR(N67*O67," "),2)</f>
        <v>0</v>
      </c>
      <c r="R67" s="23">
        <f>INDEX(Input!$C$21:$AL$25,MATCH('Residential Bills_Yr 1_6 Units'!$A67,Input!$A$21:$A$25,0),MATCH('Residential Bills_Yr 1_6 Units'!R$61,Input!$C$20:$AL$20,0))</f>
        <v>7.1337999999999999</v>
      </c>
      <c r="S67" s="24">
        <f>IF(OR(Input!J128="Tier 4",Input!J128="Tier 5"),IF(('Residential Bills_Yr 1_6 Units'!$B$55-'Residential Bills_Yr 1_6 Units'!S65-'Residential Bills_Yr 1_6 Units'!S66)&gt;Input!J89,Input!J89,('Residential Bills_Yr 1_6 Units'!$B$55-'Residential Bills_Yr 1_6 Units'!S65-'Residential Bills_Yr 1_6 Units'!S66)),('Residential Bills_Yr 1_6 Units'!$B$55-'Residential Bills_Yr 1_6 Units'!S65-'Residential Bills_Yr 1_6 Units'!S66))</f>
        <v>0</v>
      </c>
      <c r="T67" s="25">
        <f>ROUND(IFERROR(R67*S67," "),2)</f>
        <v>0</v>
      </c>
      <c r="V67" s="23">
        <f>INDEX(Input!$C$21:$AL$25,MATCH('Residential Bills_Yr 1_6 Units'!$A67,Input!$A$21:$A$25,0),MATCH('Residential Bills_Yr 1_6 Units'!V$61,Input!$C$20:$AL$20,0))</f>
        <v>7.1337999999999999</v>
      </c>
      <c r="W67" s="24">
        <f>IF(OR(Input!K128="Tier 4",Input!K128="Tier 5"),IF(('Residential Bills_Yr 1_6 Units'!$B$55-'Residential Bills_Yr 1_6 Units'!W65-'Residential Bills_Yr 1_6 Units'!W66)&gt;Input!K89,Input!K89,('Residential Bills_Yr 1_6 Units'!$B$55-'Residential Bills_Yr 1_6 Units'!W65-'Residential Bills_Yr 1_6 Units'!W66)),('Residential Bills_Yr 1_6 Units'!$B$55-'Residential Bills_Yr 1_6 Units'!W65-'Residential Bills_Yr 1_6 Units'!W66))</f>
        <v>0</v>
      </c>
      <c r="X67" s="25">
        <f>ROUND(IFERROR(V67*W67," "),2)</f>
        <v>0</v>
      </c>
      <c r="Z67" s="23">
        <f>INDEX(Input!$C$21:$AL$25,MATCH('Residential Bills_Yr 1_6 Units'!$A67,Input!$A$21:$A$25,0),MATCH('Residential Bills_Yr 1_6 Units'!Z$61,Input!$C$20:$AL$20,0))</f>
        <v>7.6515000000000004</v>
      </c>
      <c r="AA67" s="24">
        <f>IF(OR(Input!L128="Tier 4",Input!L128="Tier 5"),IF(('Residential Bills_Yr 1_6 Units'!$B$55-'Residential Bills_Yr 1_6 Units'!AA65-'Residential Bills_Yr 1_6 Units'!AA66)&gt;Input!L89,Input!L89,('Residential Bills_Yr 1_6 Units'!$B$55-'Residential Bills_Yr 1_6 Units'!AA65-'Residential Bills_Yr 1_6 Units'!AA66)),('Residential Bills_Yr 1_6 Units'!$B$55-'Residential Bills_Yr 1_6 Units'!AA65-'Residential Bills_Yr 1_6 Units'!AA66))</f>
        <v>0</v>
      </c>
      <c r="AB67" s="25">
        <f>ROUND(IFERROR(Z67*AA67," "),2)</f>
        <v>0</v>
      </c>
      <c r="AD67" s="23">
        <f>INDEX(Input!$C$21:$AL$25,MATCH('Residential Bills_Yr 1_6 Units'!$A67,Input!$A$21:$A$25,0),MATCH('Residential Bills_Yr 1_6 Units'!AD$61,Input!$C$20:$AL$20,0))</f>
        <v>7.6515000000000004</v>
      </c>
      <c r="AE67" s="24">
        <f>IF(OR(Input!M128="Tier 4",Input!M128="Tier 5"),IF(('Residential Bills_Yr 1_6 Units'!$B$55-'Residential Bills_Yr 1_6 Units'!AE65-'Residential Bills_Yr 1_6 Units'!AE66)&gt;Input!M89,Input!M89,('Residential Bills_Yr 1_6 Units'!$B$55-'Residential Bills_Yr 1_6 Units'!AE65-'Residential Bills_Yr 1_6 Units'!AE66)),('Residential Bills_Yr 1_6 Units'!$B$55-'Residential Bills_Yr 1_6 Units'!AE65-'Residential Bills_Yr 1_6 Units'!AE66))</f>
        <v>0</v>
      </c>
      <c r="AF67" s="25">
        <f>ROUND(IFERROR(AD67*AE67," "),2)</f>
        <v>0</v>
      </c>
      <c r="AH67" s="23">
        <f>INDEX(Input!$C$21:$AL$25,MATCH('Residential Bills_Yr 1_6 Units'!$A67,Input!$A$21:$A$25,0),MATCH('Residential Bills_Yr 1_6 Units'!AH$61,Input!$C$20:$AL$20,0))</f>
        <v>7.6515000000000004</v>
      </c>
      <c r="AI67" s="24">
        <f>IF(OR(Input!N128="Tier 4",Input!N128="Tier 5"),IF(('Residential Bills_Yr 1_6 Units'!$B$55-'Residential Bills_Yr 1_6 Units'!AI65-'Residential Bills_Yr 1_6 Units'!AI66)&gt;Input!N89,Input!N89,('Residential Bills_Yr 1_6 Units'!$B$55-'Residential Bills_Yr 1_6 Units'!AI65-'Residential Bills_Yr 1_6 Units'!AI66)),('Residential Bills_Yr 1_6 Units'!$B$55-'Residential Bills_Yr 1_6 Units'!AI65-'Residential Bills_Yr 1_6 Units'!AI66))</f>
        <v>0</v>
      </c>
      <c r="AJ67" s="25">
        <f>ROUND(IFERROR(AH67*AI67," "),2)</f>
        <v>0</v>
      </c>
      <c r="AL67" s="23">
        <f>INDEX(Input!$C$21:$AL$25,MATCH('Residential Bills_Yr 1_6 Units'!$A67,Input!$A$21:$A$25,0),MATCH('Residential Bills_Yr 1_6 Units'!AL$61,Input!$C$20:$AL$20,0))</f>
        <v>7.6515000000000004</v>
      </c>
      <c r="AM67" s="24">
        <f>IF(OR(Input!O128="Tier 4",Input!O128="Tier 5"),IF(('Residential Bills_Yr 1_6 Units'!$B$55-'Residential Bills_Yr 1_6 Units'!AM65-'Residential Bills_Yr 1_6 Units'!AM66)&gt;Input!O89,Input!O89,('Residential Bills_Yr 1_6 Units'!$B$55-'Residential Bills_Yr 1_6 Units'!AM65-'Residential Bills_Yr 1_6 Units'!AM66)),('Residential Bills_Yr 1_6 Units'!$B$55-'Residential Bills_Yr 1_6 Units'!AM65-'Residential Bills_Yr 1_6 Units'!AM66))</f>
        <v>0</v>
      </c>
      <c r="AN67" s="25">
        <f>ROUND(IFERROR(AL67*AM67," "),2)</f>
        <v>0</v>
      </c>
      <c r="AP67" s="23">
        <f>INDEX(Input!$C$21:$AL$25,MATCH('Residential Bills_Yr 1_6 Units'!$A67,Input!$A$21:$A$25,0),MATCH('Residential Bills_Yr 1_6 Units'!AP$61,Input!$C$20:$AL$20,0))</f>
        <v>8.821299999999999</v>
      </c>
      <c r="AQ67" s="24">
        <f>IF(OR(Input!P128="Tier 4",Input!P128="Tier 5"),IF(('Residential Bills_Yr 1_6 Units'!$B$55-'Residential Bills_Yr 1_6 Units'!AQ65-'Residential Bills_Yr 1_6 Units'!AQ66)&gt;Input!P89,Input!P89,('Residential Bills_Yr 1_6 Units'!$B$55-'Residential Bills_Yr 1_6 Units'!AQ65-'Residential Bills_Yr 1_6 Units'!AQ66)),('Residential Bills_Yr 1_6 Units'!$B$55-'Residential Bills_Yr 1_6 Units'!AQ65-'Residential Bills_Yr 1_6 Units'!AQ66))</f>
        <v>0</v>
      </c>
      <c r="AR67" s="25">
        <f>ROUND(IFERROR(AP67*AQ67," "),2)</f>
        <v>0</v>
      </c>
      <c r="AS67" s="30"/>
      <c r="AT67" s="23">
        <f>INDEX(Input!$C$21:$AL$25,MATCH('Residential Bills_Yr 1_6 Units'!$A67,Input!$A$21:$A$25,0),MATCH('Residential Bills_Yr 1_6 Units'!AT$61,Input!$C$20:$AL$20,0))</f>
        <v>8.821299999999999</v>
      </c>
      <c r="AU67" s="24">
        <f>IF(OR(Input!Q128="Tier 4",Input!Q128="Tier 5"),IF(('Residential Bills_Yr 1_6 Units'!$B$55-'Residential Bills_Yr 1_6 Units'!AU65-'Residential Bills_Yr 1_6 Units'!AU66)&gt;Input!Q89,Input!Q89,('Residential Bills_Yr 1_6 Units'!$B$55-'Residential Bills_Yr 1_6 Units'!AU65-'Residential Bills_Yr 1_6 Units'!AU66)),('Residential Bills_Yr 1_6 Units'!$B$55-'Residential Bills_Yr 1_6 Units'!AU65-'Residential Bills_Yr 1_6 Units'!AU66))</f>
        <v>0</v>
      </c>
      <c r="AV67" s="25">
        <f>ROUND(IFERROR(AT67*AU67," "),2)</f>
        <v>0</v>
      </c>
    </row>
    <row r="68" spans="1:48" ht="14.5" hidden="1" customHeight="1" x14ac:dyDescent="0.55000000000000004">
      <c r="A68" t="str">
        <f>A20</f>
        <v>Tier 4</v>
      </c>
      <c r="B68" s="23">
        <f>INDEX(Input!$C$21:$AL$25,MATCH('Residential Bills_Yr 1_6 Units'!$A68,Input!$A$21:$A$25,0),MATCH('Residential Bills_Yr 1_6 Units'!B$61,Input!$C$20:$AL$20,0))</f>
        <v>0</v>
      </c>
      <c r="C68" s="24" t="str">
        <f>IF(Input!F128="Tier 4",($B$55-C65-C66-C67),IF(Input!F128="Tier 5",IF(('Residential Bills_Yr 1_6 Units'!$B$55-'Residential Bills_Yr 1_6 Units'!C65-'Residential Bills_Yr 1_6 Units'!C66-'Residential Bills_Yr 1_6 Units'!C67)&gt;Input!F133,Input!F133,('Residential Bills_Yr 1_6 Units'!$B$55-'Residential Bills_Yr 1_6 Units'!C65-'Residential Bills_Yr 1_6 Units'!C66-'Residential Bills_Yr 1_6 Units'!C67))," "))</f>
        <v xml:space="preserve"> </v>
      </c>
      <c r="D68" s="25" t="str">
        <f t="shared" ref="D68:D69" si="24">IFERROR(B68*C68," ")</f>
        <v xml:space="preserve"> </v>
      </c>
      <c r="F68" s="23">
        <f>INDEX(Input!$C$21:$AL$25,MATCH('Residential Bills_Yr 1_6 Units'!$A68,Input!$A$21:$A$25,0),MATCH('Residential Bills_Yr 1_6 Units'!F$61,Input!$C$20:$AL$20,0))</f>
        <v>0</v>
      </c>
      <c r="G68" s="24" t="str">
        <f>IF(Input!G128="Tier 4",($B$55-G65-G66-G67),IF(Input!G128="Tier 5",IF(('Residential Bills_Yr 1_6 Units'!$B$55-'Residential Bills_Yr 1_6 Units'!G65-'Residential Bills_Yr 1_6 Units'!G66-'Residential Bills_Yr 1_6 Units'!G67)&gt;Input!G133,Input!G133,('Residential Bills_Yr 1_6 Units'!$B$55-'Residential Bills_Yr 1_6 Units'!G65-'Residential Bills_Yr 1_6 Units'!G66-'Residential Bills_Yr 1_6 Units'!G67))," "))</f>
        <v xml:space="preserve"> </v>
      </c>
      <c r="H68" s="25" t="str">
        <f t="shared" ref="H68:H69" si="25">IFERROR(F68*G68," ")</f>
        <v xml:space="preserve"> </v>
      </c>
      <c r="J68" s="23">
        <f>INDEX(Input!$C$21:$AL$25,MATCH('Residential Bills_Yr 1_6 Units'!$A68,Input!$A$21:$A$25,0),MATCH('Residential Bills_Yr 1_6 Units'!J$61,Input!$C$20:$AL$20,0))</f>
        <v>0</v>
      </c>
      <c r="K68" s="24" t="str">
        <f>IF(Input!H128="Tier 4",($B$55-K65-K66-K67),IF(Input!H128="Tier 5",IF(('Residential Bills_Yr 1_6 Units'!$B$55-'Residential Bills_Yr 1_6 Units'!K65-'Residential Bills_Yr 1_6 Units'!K66-'Residential Bills_Yr 1_6 Units'!K67)&gt;Input!H133,Input!H133,('Residential Bills_Yr 1_6 Units'!$B$55-'Residential Bills_Yr 1_6 Units'!K65-'Residential Bills_Yr 1_6 Units'!K66-'Residential Bills_Yr 1_6 Units'!K67))," "))</f>
        <v xml:space="preserve"> </v>
      </c>
      <c r="L68" s="25" t="str">
        <f t="shared" ref="L68:L69" si="26">IFERROR(J68*K68," ")</f>
        <v xml:space="preserve"> </v>
      </c>
      <c r="N68" s="23">
        <f>INDEX(Input!$C$21:$AL$25,MATCH('Residential Bills_Yr 1_6 Units'!$A68,Input!$A$21:$A$25,0),MATCH('Residential Bills_Yr 1_6 Units'!N$61,Input!$C$20:$AL$20,0))</f>
        <v>0</v>
      </c>
      <c r="O68" s="24" t="str">
        <f>IF(Input!I128="Tier 4",($B$55-O65-O66-O67),IF(Input!I128="Tier 5",IF(('Residential Bills_Yr 1_6 Units'!$B$55-'Residential Bills_Yr 1_6 Units'!O65-'Residential Bills_Yr 1_6 Units'!O66-'Residential Bills_Yr 1_6 Units'!O67)&gt;Input!I133,Input!I133,('Residential Bills_Yr 1_6 Units'!$B$55-'Residential Bills_Yr 1_6 Units'!O65-'Residential Bills_Yr 1_6 Units'!O66-'Residential Bills_Yr 1_6 Units'!O67))," "))</f>
        <v xml:space="preserve"> </v>
      </c>
      <c r="P68" s="25" t="str">
        <f t="shared" ref="P68:P69" si="27">IFERROR(N68*O68," ")</f>
        <v xml:space="preserve"> </v>
      </c>
      <c r="R68" s="23">
        <f>INDEX(Input!$C$21:$AL$25,MATCH('Residential Bills_Yr 1_6 Units'!$A68,Input!$A$21:$A$25,0),MATCH('Residential Bills_Yr 1_6 Units'!R$61,Input!$C$20:$AL$20,0))</f>
        <v>0</v>
      </c>
      <c r="S68" s="24" t="str">
        <f>IF(Input!J128="Tier 4",($B$55-S65-S66-S67),IF(Input!J128="Tier 5",IF(('Residential Bills_Yr 1_6 Units'!$B$55-'Residential Bills_Yr 1_6 Units'!S65-'Residential Bills_Yr 1_6 Units'!S66-'Residential Bills_Yr 1_6 Units'!S67)&gt;Input!J133,Input!J133,('Residential Bills_Yr 1_6 Units'!$B$55-'Residential Bills_Yr 1_6 Units'!S65-'Residential Bills_Yr 1_6 Units'!S66-'Residential Bills_Yr 1_6 Units'!S67))," "))</f>
        <v xml:space="preserve"> </v>
      </c>
      <c r="T68" s="25" t="str">
        <f t="shared" ref="T68:T69" si="28">IFERROR(R68*S68," ")</f>
        <v xml:space="preserve"> </v>
      </c>
      <c r="V68" s="23">
        <f>INDEX(Input!$C$21:$AL$25,MATCH('Residential Bills_Yr 1_6 Units'!$A68,Input!$A$21:$A$25,0),MATCH('Residential Bills_Yr 1_6 Units'!V$61,Input!$C$20:$AL$20,0))</f>
        <v>0</v>
      </c>
      <c r="W68" s="24" t="str">
        <f>IF(Input!K128="Tier 4",($B$55-W65-W66-W67),IF(Input!K128="Tier 5",IF(('Residential Bills_Yr 1_6 Units'!$B$55-'Residential Bills_Yr 1_6 Units'!W65-'Residential Bills_Yr 1_6 Units'!W66-'Residential Bills_Yr 1_6 Units'!W67)&gt;Input!K133,Input!K133,('Residential Bills_Yr 1_6 Units'!$B$55-'Residential Bills_Yr 1_6 Units'!W65-'Residential Bills_Yr 1_6 Units'!W66-'Residential Bills_Yr 1_6 Units'!W67))," "))</f>
        <v xml:space="preserve"> </v>
      </c>
      <c r="X68" s="25" t="str">
        <f t="shared" ref="X68:X69" si="29">IFERROR(V68*W68," ")</f>
        <v xml:space="preserve"> </v>
      </c>
      <c r="Z68" s="23">
        <f>INDEX(Input!$C$21:$AL$25,MATCH('Residential Bills_Yr 1_6 Units'!$A68,Input!$A$21:$A$25,0),MATCH('Residential Bills_Yr 1_6 Units'!Z$61,Input!$C$20:$AL$20,0))</f>
        <v>0</v>
      </c>
      <c r="AA68" s="24" t="str">
        <f>IF(Input!L128="Tier 4",($B$55-AA65-AA66-AA67),IF(Input!L128="Tier 5",IF(('Residential Bills_Yr 1_6 Units'!$B$55-'Residential Bills_Yr 1_6 Units'!AA65-'Residential Bills_Yr 1_6 Units'!AA66-'Residential Bills_Yr 1_6 Units'!AA67)&gt;Input!L133,Input!L133,('Residential Bills_Yr 1_6 Units'!$B$55-'Residential Bills_Yr 1_6 Units'!AA65-'Residential Bills_Yr 1_6 Units'!AA66-'Residential Bills_Yr 1_6 Units'!AA67))," "))</f>
        <v xml:space="preserve"> </v>
      </c>
      <c r="AB68" s="25" t="str">
        <f t="shared" ref="AB68:AB69" si="30">IFERROR(Z68*AA68," ")</f>
        <v xml:space="preserve"> </v>
      </c>
      <c r="AD68" s="23">
        <f>INDEX(Input!$C$21:$AL$25,MATCH('Residential Bills_Yr 1_6 Units'!$A68,Input!$A$21:$A$25,0),MATCH('Residential Bills_Yr 1_6 Units'!AD$61,Input!$C$20:$AL$20,0))</f>
        <v>0</v>
      </c>
      <c r="AE68" s="24" t="str">
        <f>IF(Input!M128="Tier 4",($B$55-AE65-AE66-AE67),IF(Input!M128="Tier 5",IF(('Residential Bills_Yr 1_6 Units'!$B$55-'Residential Bills_Yr 1_6 Units'!AE65-'Residential Bills_Yr 1_6 Units'!AE66-'Residential Bills_Yr 1_6 Units'!AE67)&gt;Input!M133,Input!M133,('Residential Bills_Yr 1_6 Units'!$B$55-'Residential Bills_Yr 1_6 Units'!AE65-'Residential Bills_Yr 1_6 Units'!AE66-'Residential Bills_Yr 1_6 Units'!AE67))," "))</f>
        <v xml:space="preserve"> </v>
      </c>
      <c r="AF68" s="25" t="str">
        <f t="shared" ref="AF68:AF69" si="31">IFERROR(AD68*AE68," ")</f>
        <v xml:space="preserve"> </v>
      </c>
      <c r="AH68" s="23">
        <f>INDEX(Input!$C$21:$AL$25,MATCH('Residential Bills_Yr 1_6 Units'!$A68,Input!$A$21:$A$25,0),MATCH('Residential Bills_Yr 1_6 Units'!AH$61,Input!$C$20:$AL$20,0))</f>
        <v>0</v>
      </c>
      <c r="AI68" s="24" t="str">
        <f>IF(Input!N128="Tier 4",($B$55-AI65-AI66-AI67),IF(Input!N128="Tier 5",IF(('Residential Bills_Yr 1_6 Units'!$B$55-'Residential Bills_Yr 1_6 Units'!AI65-'Residential Bills_Yr 1_6 Units'!AI66-'Residential Bills_Yr 1_6 Units'!AI67)&gt;Input!N133,Input!N133,('Residential Bills_Yr 1_6 Units'!$B$55-'Residential Bills_Yr 1_6 Units'!AI65-'Residential Bills_Yr 1_6 Units'!AI66-'Residential Bills_Yr 1_6 Units'!AI67))," "))</f>
        <v xml:space="preserve"> </v>
      </c>
      <c r="AJ68" s="25" t="str">
        <f t="shared" ref="AJ68:AJ69" si="32">IFERROR(AH68*AI68," ")</f>
        <v xml:space="preserve"> </v>
      </c>
      <c r="AL68" s="23">
        <f>INDEX(Input!$C$21:$AL$25,MATCH('Residential Bills_Yr 1_6 Units'!$A68,Input!$A$21:$A$25,0),MATCH('Residential Bills_Yr 1_6 Units'!AL$61,Input!$C$20:$AL$20,0))</f>
        <v>0</v>
      </c>
      <c r="AM68" s="24" t="str">
        <f>IF(Input!O128="Tier 4",($B$55-AM65-AM66-AM67),IF(Input!O128="Tier 5",IF(('Residential Bills_Yr 1_6 Units'!$B$55-'Residential Bills_Yr 1_6 Units'!AM65-'Residential Bills_Yr 1_6 Units'!AM66-'Residential Bills_Yr 1_6 Units'!AM67)&gt;Input!O133,Input!O133,('Residential Bills_Yr 1_6 Units'!$B$55-'Residential Bills_Yr 1_6 Units'!AM65-'Residential Bills_Yr 1_6 Units'!AM66-'Residential Bills_Yr 1_6 Units'!AM67))," "))</f>
        <v xml:space="preserve"> </v>
      </c>
      <c r="AN68" s="25" t="str">
        <f t="shared" ref="AN68:AN69" si="33">IFERROR(AL68*AM68," ")</f>
        <v xml:space="preserve"> </v>
      </c>
      <c r="AP68" s="23">
        <f>INDEX(Input!$C$21:$AL$25,MATCH('Residential Bills_Yr 1_6 Units'!$A68,Input!$A$21:$A$25,0),MATCH('Residential Bills_Yr 1_6 Units'!AP$61,Input!$C$20:$AL$20,0))</f>
        <v>0</v>
      </c>
      <c r="AQ68" s="24" t="str">
        <f>IF(Input!P128="Tier 4",($B$55-AQ65-AQ66-AQ67),IF(Input!P128="Tier 5",IF(('Residential Bills_Yr 1_6 Units'!$B$55-'Residential Bills_Yr 1_6 Units'!AQ65-'Residential Bills_Yr 1_6 Units'!AQ66-'Residential Bills_Yr 1_6 Units'!AQ67)&gt;Input!P133,Input!P133,('Residential Bills_Yr 1_6 Units'!$B$55-'Residential Bills_Yr 1_6 Units'!AQ65-'Residential Bills_Yr 1_6 Units'!AQ66-'Residential Bills_Yr 1_6 Units'!AQ67))," "))</f>
        <v xml:space="preserve"> </v>
      </c>
      <c r="AR68" s="25" t="str">
        <f t="shared" ref="AR68:AR69" si="34">IFERROR(AP68*AQ68," ")</f>
        <v xml:space="preserve"> </v>
      </c>
      <c r="AS68" s="30"/>
      <c r="AT68" s="23">
        <f>INDEX(Input!$C$21:$AL$25,MATCH('Residential Bills_Yr 1_6 Units'!$A68,Input!$A$21:$A$25,0),MATCH('Residential Bills_Yr 1_6 Units'!AT$61,Input!$C$20:$AL$20,0))</f>
        <v>0</v>
      </c>
      <c r="AU68" s="24" t="str">
        <f>IF(Input!Q128="Tier 4",($B$55-AU65-AU66-AU67),IF(Input!Q128="Tier 5",IF(('Residential Bills_Yr 1_6 Units'!$B$55-'Residential Bills_Yr 1_6 Units'!AU65-'Residential Bills_Yr 1_6 Units'!AU66-'Residential Bills_Yr 1_6 Units'!AU67)&gt;Input!Q133,Input!Q133,('Residential Bills_Yr 1_6 Units'!$B$55-'Residential Bills_Yr 1_6 Units'!AU65-'Residential Bills_Yr 1_6 Units'!AU66-'Residential Bills_Yr 1_6 Units'!AU67))," "))</f>
        <v xml:space="preserve"> </v>
      </c>
      <c r="AV68" s="25" t="str">
        <f t="shared" ref="AV68:AV69" si="35">IFERROR(AT68*AU68," ")</f>
        <v xml:space="preserve"> </v>
      </c>
    </row>
    <row r="69" spans="1:48" ht="14.5" hidden="1" customHeight="1" x14ac:dyDescent="0.55000000000000004">
      <c r="A69" t="str">
        <f>A21</f>
        <v>Tier 5</v>
      </c>
      <c r="B69" s="23">
        <f>INDEX(Input!$C$21:$AL$25,MATCH('Residential Bills_Yr 1_6 Units'!$A69,Input!$A$21:$A$25,0),MATCH('Residential Bills_Yr 1_6 Units'!B$61,Input!$C$20:$AL$20,0))</f>
        <v>0</v>
      </c>
      <c r="C69" s="24" t="str">
        <f>IF(Input!F128="Tier 5",('Residential Bills_Yr 1_6 Units'!$B$55-'Residential Bills_Yr 1_6 Units'!C65-'Residential Bills_Yr 1_6 Units'!C66-'Residential Bills_Yr 1_6 Units'!C67-'Residential Bills_Yr 1_6 Units'!C68)," ")</f>
        <v xml:space="preserve"> </v>
      </c>
      <c r="D69" s="25" t="str">
        <f t="shared" si="24"/>
        <v xml:space="preserve"> </v>
      </c>
      <c r="F69" s="23">
        <f>INDEX(Input!$C$21:$AL$25,MATCH('Residential Bills_Yr 1_6 Units'!$A69,Input!$A$21:$A$25,0),MATCH('Residential Bills_Yr 1_6 Units'!F$61,Input!$C$20:$AL$20,0))</f>
        <v>0</v>
      </c>
      <c r="G69" s="24" t="str">
        <f>IF(Input!G128="Tier 5",('Residential Bills_Yr 1_6 Units'!$B$55-'Residential Bills_Yr 1_6 Units'!G65-'Residential Bills_Yr 1_6 Units'!G66-'Residential Bills_Yr 1_6 Units'!G67-'Residential Bills_Yr 1_6 Units'!G68)," ")</f>
        <v xml:space="preserve"> </v>
      </c>
      <c r="H69" s="25" t="str">
        <f t="shared" si="25"/>
        <v xml:space="preserve"> </v>
      </c>
      <c r="J69" s="23">
        <f>INDEX(Input!$C$21:$AL$25,MATCH('Residential Bills_Yr 1_6 Units'!$A69,Input!$A$21:$A$25,0),MATCH('Residential Bills_Yr 1_6 Units'!J$61,Input!$C$20:$AL$20,0))</f>
        <v>0</v>
      </c>
      <c r="K69" s="24" t="str">
        <f>IF(Input!H128="Tier 5",('Residential Bills_Yr 1_6 Units'!$B$55-'Residential Bills_Yr 1_6 Units'!K$17-'Residential Bills_Yr 1_6 Units'!K$18-'Residential Bills_Yr 1_6 Units'!K$19-'Residential Bills_Yr 1_6 Units'!K$20)," ")</f>
        <v xml:space="preserve"> </v>
      </c>
      <c r="L69" s="25" t="str">
        <f t="shared" si="26"/>
        <v xml:space="preserve"> </v>
      </c>
      <c r="N69" s="23">
        <f>INDEX(Input!$C$21:$AL$25,MATCH('Residential Bills_Yr 1_6 Units'!$A69,Input!$A$21:$A$25,0),MATCH('Residential Bills_Yr 1_6 Units'!N$61,Input!$C$20:$AL$20,0))</f>
        <v>0</v>
      </c>
      <c r="O69" s="24" t="str">
        <f>IF(Input!I128="Tier 5",('Residential Bills_Yr 1_6 Units'!$B$55-'Residential Bills_Yr 1_6 Units'!O$17-'Residential Bills_Yr 1_6 Units'!O$18-'Residential Bills_Yr 1_6 Units'!O$19-'Residential Bills_Yr 1_6 Units'!O$20)," ")</f>
        <v xml:space="preserve"> </v>
      </c>
      <c r="P69" s="25" t="str">
        <f t="shared" si="27"/>
        <v xml:space="preserve"> </v>
      </c>
      <c r="R69" s="23">
        <f>INDEX(Input!$C$21:$AL$25,MATCH('Residential Bills_Yr 1_6 Units'!$A69,Input!$A$21:$A$25,0),MATCH('Residential Bills_Yr 1_6 Units'!R$61,Input!$C$20:$AL$20,0))</f>
        <v>0</v>
      </c>
      <c r="S69" s="24" t="str">
        <f>IF(Input!J128="Tier 5",('Residential Bills_Yr 1_6 Units'!$B$55-'Residential Bills_Yr 1_6 Units'!S$17-'Residential Bills_Yr 1_6 Units'!S$18-'Residential Bills_Yr 1_6 Units'!S$19-'Residential Bills_Yr 1_6 Units'!S$20)," ")</f>
        <v xml:space="preserve"> </v>
      </c>
      <c r="T69" s="25" t="str">
        <f t="shared" si="28"/>
        <v xml:space="preserve"> </v>
      </c>
      <c r="V69" s="23">
        <f>INDEX(Input!$C$21:$AL$25,MATCH('Residential Bills_Yr 1_6 Units'!$A69,Input!$A$21:$A$25,0),MATCH('Residential Bills_Yr 1_6 Units'!V$61,Input!$C$20:$AL$20,0))</f>
        <v>0</v>
      </c>
      <c r="W69" s="24" t="str">
        <f>IF(Input!K128="Tier 5",('Residential Bills_Yr 1_6 Units'!$B$55-'Residential Bills_Yr 1_6 Units'!W$17-'Residential Bills_Yr 1_6 Units'!W$18-'Residential Bills_Yr 1_6 Units'!W$19-'Residential Bills_Yr 1_6 Units'!W$20)," ")</f>
        <v xml:space="preserve"> </v>
      </c>
      <c r="X69" s="25" t="str">
        <f t="shared" si="29"/>
        <v xml:space="preserve"> </v>
      </c>
      <c r="Z69" s="23">
        <f>INDEX(Input!$C$21:$AL$25,MATCH('Residential Bills_Yr 1_6 Units'!$A69,Input!$A$21:$A$25,0),MATCH('Residential Bills_Yr 1_6 Units'!Z$61,Input!$C$20:$AL$20,0))</f>
        <v>0</v>
      </c>
      <c r="AA69" s="24" t="str">
        <f>IF(Input!L128="Tier 5",('Residential Bills_Yr 1_6 Units'!$B$55-'Residential Bills_Yr 1_6 Units'!AA$17-'Residential Bills_Yr 1_6 Units'!AA$18-'Residential Bills_Yr 1_6 Units'!AA$19-'Residential Bills_Yr 1_6 Units'!AA$20)," ")</f>
        <v xml:space="preserve"> </v>
      </c>
      <c r="AB69" s="25" t="str">
        <f t="shared" si="30"/>
        <v xml:space="preserve"> </v>
      </c>
      <c r="AD69" s="23">
        <f>INDEX(Input!$C$21:$AL$25,MATCH('Residential Bills_Yr 1_6 Units'!$A69,Input!$A$21:$A$25,0),MATCH('Residential Bills_Yr 1_6 Units'!AD$61,Input!$C$20:$AL$20,0))</f>
        <v>0</v>
      </c>
      <c r="AE69" s="24" t="str">
        <f>IF(Input!M128="Tier 5",('Residential Bills_Yr 1_6 Units'!$B$55-'Residential Bills_Yr 1_6 Units'!AE$17-'Residential Bills_Yr 1_6 Units'!AE$18-'Residential Bills_Yr 1_6 Units'!AE$19-'Residential Bills_Yr 1_6 Units'!AE$20)," ")</f>
        <v xml:space="preserve"> </v>
      </c>
      <c r="AF69" s="25" t="str">
        <f t="shared" si="31"/>
        <v xml:space="preserve"> </v>
      </c>
      <c r="AH69" s="23">
        <f>INDEX(Input!$C$21:$AL$25,MATCH('Residential Bills_Yr 1_6 Units'!$A69,Input!$A$21:$A$25,0),MATCH('Residential Bills_Yr 1_6 Units'!AH$61,Input!$C$20:$AL$20,0))</f>
        <v>0</v>
      </c>
      <c r="AI69" s="24" t="str">
        <f>IF(Input!N128="Tier 5",('Residential Bills_Yr 1_6 Units'!$B$55-'Residential Bills_Yr 1_6 Units'!AI$17-'Residential Bills_Yr 1_6 Units'!AI$18-'Residential Bills_Yr 1_6 Units'!AI$19-'Residential Bills_Yr 1_6 Units'!AI$20)," ")</f>
        <v xml:space="preserve"> </v>
      </c>
      <c r="AJ69" s="25" t="str">
        <f t="shared" si="32"/>
        <v xml:space="preserve"> </v>
      </c>
      <c r="AL69" s="23">
        <f>INDEX(Input!$C$21:$AL$25,MATCH('Residential Bills_Yr 1_6 Units'!$A69,Input!$A$21:$A$25,0),MATCH('Residential Bills_Yr 1_6 Units'!AL$61,Input!$C$20:$AL$20,0))</f>
        <v>0</v>
      </c>
      <c r="AM69" s="24" t="str">
        <f>IF(Input!O128="Tier 5",('Residential Bills_Yr 1_6 Units'!$B$55-'Residential Bills_Yr 1_6 Units'!AM$17-'Residential Bills_Yr 1_6 Units'!AM$18-'Residential Bills_Yr 1_6 Units'!AM$19-'Residential Bills_Yr 1_6 Units'!AM$20)," ")</f>
        <v xml:space="preserve"> </v>
      </c>
      <c r="AN69" s="25" t="str">
        <f t="shared" si="33"/>
        <v xml:space="preserve"> </v>
      </c>
      <c r="AP69" s="23">
        <f>INDEX(Input!$C$21:$AL$25,MATCH('Residential Bills_Yr 1_6 Units'!$A69,Input!$A$21:$A$25,0),MATCH('Residential Bills_Yr 1_6 Units'!AP$61,Input!$C$20:$AL$20,0))</f>
        <v>0</v>
      </c>
      <c r="AQ69" s="24" t="str">
        <f>IF(Input!P128="Tier 5",('Residential Bills_Yr 1_6 Units'!$B$55-'Residential Bills_Yr 1_6 Units'!AQ$17-'Residential Bills_Yr 1_6 Units'!AQ$18-'Residential Bills_Yr 1_6 Units'!AQ$19-'Residential Bills_Yr 1_6 Units'!AQ$20)," ")</f>
        <v xml:space="preserve"> </v>
      </c>
      <c r="AR69" s="25" t="str">
        <f t="shared" si="34"/>
        <v xml:space="preserve"> </v>
      </c>
      <c r="AS69" s="30"/>
      <c r="AT69" s="23">
        <f>INDEX(Input!$C$21:$AL$25,MATCH('Residential Bills_Yr 1_6 Units'!$A69,Input!$A$21:$A$25,0),MATCH('Residential Bills_Yr 1_6 Units'!AT$61,Input!$C$20:$AL$20,0))</f>
        <v>0</v>
      </c>
      <c r="AU69" s="24" t="str">
        <f>IF(Input!Q128="Tier 5",('Residential Bills_Yr 1_6 Units'!$B$55-'Residential Bills_Yr 1_6 Units'!AU$17-'Residential Bills_Yr 1_6 Units'!AU$18-'Residential Bills_Yr 1_6 Units'!AU$19-'Residential Bills_Yr 1_6 Units'!AU$20)," ")</f>
        <v xml:space="preserve"> </v>
      </c>
      <c r="AV69" s="25" t="str">
        <f t="shared" si="35"/>
        <v xml:space="preserve"> </v>
      </c>
    </row>
    <row r="70" spans="1:48" x14ac:dyDescent="0.55000000000000004">
      <c r="A70" t="s">
        <v>39</v>
      </c>
      <c r="B70" s="16"/>
      <c r="C70" s="24">
        <f>SUM(C65:C69)</f>
        <v>6</v>
      </c>
      <c r="D70" s="26">
        <f>SUM(D65:D69)+D62</f>
        <v>69.3</v>
      </c>
      <c r="F70" s="16"/>
      <c r="G70" s="24">
        <f>SUM(G65:G69)</f>
        <v>6</v>
      </c>
      <c r="H70" s="26">
        <f>SUM(H65:H69)+H62</f>
        <v>69.3</v>
      </c>
      <c r="J70" s="16"/>
      <c r="K70" s="24">
        <f>SUM(K65:K69)</f>
        <v>6</v>
      </c>
      <c r="L70" s="26">
        <f>SUM(L65:L69)+L62</f>
        <v>69.3</v>
      </c>
      <c r="N70" s="16"/>
      <c r="O70" s="24">
        <f>SUM(O65:O69)</f>
        <v>6</v>
      </c>
      <c r="P70" s="26">
        <f>SUM(P65:P69)+P62</f>
        <v>69.3</v>
      </c>
      <c r="R70" s="16"/>
      <c r="S70" s="24">
        <f>SUM(S65:S69)</f>
        <v>6</v>
      </c>
      <c r="T70" s="26">
        <f>SUM(T65:T69)+T62</f>
        <v>69.3</v>
      </c>
      <c r="V70" s="16"/>
      <c r="W70" s="24">
        <f>SUM(W65:W69)</f>
        <v>6</v>
      </c>
      <c r="X70" s="26">
        <f>SUM(X65:X69)+X62</f>
        <v>69.3</v>
      </c>
      <c r="Z70" s="16"/>
      <c r="AA70" s="24">
        <f>SUM(AA65:AA69)</f>
        <v>6</v>
      </c>
      <c r="AB70" s="26">
        <f>SUM(AB65:AB69)+AB62</f>
        <v>72.42</v>
      </c>
      <c r="AD70" s="16"/>
      <c r="AE70" s="24">
        <f>SUM(AE65:AE69)</f>
        <v>6</v>
      </c>
      <c r="AF70" s="26">
        <f>SUM(AF65:AF69)+AF62</f>
        <v>72.42</v>
      </c>
      <c r="AH70" s="16"/>
      <c r="AI70" s="24">
        <f>SUM(AI65:AI69)</f>
        <v>6</v>
      </c>
      <c r="AJ70" s="26">
        <f>SUM(AJ65:AJ69)+AJ62</f>
        <v>72.42</v>
      </c>
      <c r="AL70" s="16"/>
      <c r="AM70" s="24">
        <f>SUM(AM65:AM69)</f>
        <v>6</v>
      </c>
      <c r="AN70" s="26">
        <f>SUM(AN65:AN69)+AN62</f>
        <v>72.42</v>
      </c>
      <c r="AP70" s="16"/>
      <c r="AQ70" s="24">
        <f>SUM(AQ65:AQ69)</f>
        <v>6</v>
      </c>
      <c r="AR70" s="26">
        <f>SUM(AR65:AR69)+AR62</f>
        <v>74.88</v>
      </c>
      <c r="AS70" s="64"/>
      <c r="AT70" s="16"/>
      <c r="AU70" s="24">
        <f>SUM(AU65:AU69)</f>
        <v>6</v>
      </c>
      <c r="AV70" s="26">
        <f>SUM(AV65:AV69)+AV62</f>
        <v>74.88</v>
      </c>
    </row>
    <row r="71" spans="1:48" x14ac:dyDescent="0.55000000000000004">
      <c r="B71" s="16"/>
      <c r="C71" s="17"/>
      <c r="D71" s="19"/>
      <c r="F71" s="16"/>
      <c r="G71" s="17"/>
      <c r="H71" s="19"/>
      <c r="J71" s="16"/>
      <c r="K71" s="17"/>
      <c r="L71" s="19"/>
      <c r="N71" s="16"/>
      <c r="O71" s="17"/>
      <c r="P71" s="19"/>
      <c r="R71" s="16"/>
      <c r="S71" s="17"/>
      <c r="T71" s="19"/>
      <c r="V71" s="16"/>
      <c r="W71" s="17"/>
      <c r="X71" s="19"/>
      <c r="Z71" s="16"/>
      <c r="AA71" s="17"/>
      <c r="AB71" s="19"/>
      <c r="AD71" s="16"/>
      <c r="AE71" s="17"/>
      <c r="AF71" s="19"/>
      <c r="AH71" s="16"/>
      <c r="AI71" s="17"/>
      <c r="AJ71" s="19"/>
      <c r="AL71" s="16"/>
      <c r="AM71" s="17"/>
      <c r="AN71" s="19"/>
      <c r="AP71" s="16"/>
      <c r="AQ71" s="17"/>
      <c r="AR71" s="19"/>
      <c r="AS71" s="17"/>
      <c r="AT71" s="16"/>
      <c r="AU71" s="17"/>
      <c r="AV71" s="19"/>
    </row>
    <row r="72" spans="1:48" x14ac:dyDescent="0.55000000000000004">
      <c r="A72" s="1" t="s">
        <v>34</v>
      </c>
      <c r="B72" s="20" t="s">
        <v>29</v>
      </c>
      <c r="C72" s="21" t="s">
        <v>44</v>
      </c>
      <c r="D72" s="22" t="s">
        <v>30</v>
      </c>
      <c r="F72" s="20" t="s">
        <v>29</v>
      </c>
      <c r="G72" s="21" t="s">
        <v>44</v>
      </c>
      <c r="H72" s="111" t="s">
        <v>30</v>
      </c>
      <c r="J72" s="20" t="s">
        <v>29</v>
      </c>
      <c r="K72" s="21" t="s">
        <v>44</v>
      </c>
      <c r="L72" s="111" t="s">
        <v>30</v>
      </c>
      <c r="N72" s="20" t="s">
        <v>29</v>
      </c>
      <c r="O72" s="21" t="s">
        <v>44</v>
      </c>
      <c r="P72" s="111" t="s">
        <v>30</v>
      </c>
      <c r="R72" s="20" t="s">
        <v>29</v>
      </c>
      <c r="S72" s="21" t="s">
        <v>44</v>
      </c>
      <c r="T72" s="111" t="s">
        <v>30</v>
      </c>
      <c r="V72" s="20" t="s">
        <v>29</v>
      </c>
      <c r="W72" s="21" t="s">
        <v>44</v>
      </c>
      <c r="X72" s="111" t="s">
        <v>30</v>
      </c>
      <c r="Z72" s="20" t="s">
        <v>29</v>
      </c>
      <c r="AA72" s="21" t="s">
        <v>44</v>
      </c>
      <c r="AB72" s="111" t="s">
        <v>30</v>
      </c>
      <c r="AD72" s="20" t="s">
        <v>29</v>
      </c>
      <c r="AE72" s="21" t="s">
        <v>44</v>
      </c>
      <c r="AF72" s="111" t="s">
        <v>30</v>
      </c>
      <c r="AH72" s="20" t="s">
        <v>29</v>
      </c>
      <c r="AI72" s="21" t="s">
        <v>44</v>
      </c>
      <c r="AJ72" s="111" t="s">
        <v>30</v>
      </c>
      <c r="AL72" s="20" t="s">
        <v>29</v>
      </c>
      <c r="AM72" s="21" t="s">
        <v>44</v>
      </c>
      <c r="AN72" s="111" t="s">
        <v>30</v>
      </c>
      <c r="AP72" s="20" t="s">
        <v>29</v>
      </c>
      <c r="AQ72" s="21" t="s">
        <v>44</v>
      </c>
      <c r="AR72" s="111" t="s">
        <v>30</v>
      </c>
      <c r="AS72" s="170"/>
      <c r="AT72" s="20" t="s">
        <v>29</v>
      </c>
      <c r="AU72" s="21" t="s">
        <v>44</v>
      </c>
      <c r="AV72" s="111" t="s">
        <v>30</v>
      </c>
    </row>
    <row r="73" spans="1:48" s="44" customFormat="1" x14ac:dyDescent="0.55000000000000004">
      <c r="A73" s="44" t="str">
        <f t="shared" ref="A73:A85" si="36">A25</f>
        <v>SRF 1</v>
      </c>
      <c r="B73" s="173">
        <f>INDEX(Input!$C$62:$AM$74,MATCH($A73,Input!$A$62:$A$74,0),MATCH(B$61,Input!$C$61:$AM$61,0))</f>
        <v>0.04</v>
      </c>
      <c r="C73" s="31" t="str">
        <f>IF(VLOOKUP($A73,Input!$A$62:$B$74,2,FALSE)="Percentage",D$70,IF(VLOOKUP($A73,Input!$A$62:$B$74,2,FALSE)="Fixed","Fixed",(C$70)))</f>
        <v>Fixed</v>
      </c>
      <c r="D73" s="25">
        <f t="shared" ref="D73:D85" si="37">ROUND(IF(C73="Fixed",B73,(B73*C73)),2)</f>
        <v>0.04</v>
      </c>
      <c r="F73" s="173">
        <f>INDEX(Input!$C$62:$AM$74,MATCH($A73,Input!$A$62:$A$74,0),MATCH(F$61,Input!$C$61:$AM$61,0))</f>
        <v>0.04</v>
      </c>
      <c r="G73" s="31" t="str">
        <f>IF(VLOOKUP($A73,Input!$A$62:$B$74,2,FALSE)="Percentage",H$70,IF(VLOOKUP($A73,Input!$A$62:$B$74,2,FALSE)="Fixed","Fixed",(G$70)))</f>
        <v>Fixed</v>
      </c>
      <c r="H73" s="25">
        <f t="shared" ref="H73:H85" si="38">ROUND(IF(G73="Fixed",F73,(F73*G73)),2)</f>
        <v>0.04</v>
      </c>
      <c r="J73" s="173">
        <f>INDEX(Input!$C$62:$AM$74,MATCH($A73,Input!$A$62:$A$74,0),MATCH(J$61,Input!$C$61:$AM$61,0))</f>
        <v>0.04</v>
      </c>
      <c r="K73" s="31" t="str">
        <f>IF(VLOOKUP($A73,Input!$A$62:$B$74,2,FALSE)="Percentage",L$70,IF(VLOOKUP($A73,Input!$A$62:$B$74,2,FALSE)="Fixed","Fixed",(K$70)))</f>
        <v>Fixed</v>
      </c>
      <c r="L73" s="25">
        <f t="shared" ref="L73:L85" si="39">ROUND(IF(K73="Fixed",J73,(J73*K73)),2)</f>
        <v>0.04</v>
      </c>
      <c r="N73" s="173">
        <f>INDEX(Input!$C$62:$AM$74,MATCH($A73,Input!$A$62:$A$74,0),MATCH(N$61,Input!$C$61:$AM$61,0))</f>
        <v>0.04</v>
      </c>
      <c r="O73" s="31" t="str">
        <f>IF(VLOOKUP($A73,Input!$A$62:$B$74,2,FALSE)="Percentage",P$70,IF(VLOOKUP($A73,Input!$A$62:$B$74,2,FALSE)="Fixed","Fixed",(O$70)))</f>
        <v>Fixed</v>
      </c>
      <c r="P73" s="25">
        <f t="shared" ref="P73:P85" si="40">ROUND(IF(O73="Fixed",N73,(N73*O73)),2)</f>
        <v>0.04</v>
      </c>
      <c r="R73" s="173">
        <f>INDEX(Input!$C$62:$AM$74,MATCH($A73,Input!$A$62:$A$74,0),MATCH(R$61,Input!$C$61:$AM$61,0))</f>
        <v>0.04</v>
      </c>
      <c r="S73" s="31" t="str">
        <f>IF(VLOOKUP($A73,Input!$A$62:$B$74,2,FALSE)="Percentage",T$70,IF(VLOOKUP($A73,Input!$A$62:$B$74,2,FALSE)="Fixed","Fixed",(S$70)))</f>
        <v>Fixed</v>
      </c>
      <c r="T73" s="25">
        <f t="shared" ref="T73:T85" si="41">ROUND(IF(S73="Fixed",R73,(R73*S73)),2)</f>
        <v>0.04</v>
      </c>
      <c r="V73" s="173">
        <f>INDEX(Input!$C$62:$AM$74,MATCH($A73,Input!$A$62:$A$74,0),MATCH(V$61,Input!$C$61:$AM$61,0))</f>
        <v>0.04</v>
      </c>
      <c r="W73" s="31" t="str">
        <f>IF(VLOOKUP($A73,Input!$A$62:$B$74,2,FALSE)="Percentage",X$70,IF(VLOOKUP($A73,Input!$A$62:$B$74,2,FALSE)="Fixed","Fixed",(W$70)))</f>
        <v>Fixed</v>
      </c>
      <c r="X73" s="25">
        <f t="shared" ref="X73:X85" si="42">ROUND(IF(W73="Fixed",V73,(V73*W73)),2)</f>
        <v>0.04</v>
      </c>
      <c r="Z73" s="173">
        <f>INDEX(Input!$C$62:$AM$74,MATCH($A73,Input!$A$62:$A$74,0),MATCH(Z$61,Input!$C$61:$AM$61,0))</f>
        <v>0.04</v>
      </c>
      <c r="AA73" s="31" t="str">
        <f>IF(VLOOKUP($A73,Input!$A$62:$B$74,2,FALSE)="Percentage",AB$70,IF(VLOOKUP($A73,Input!$A$62:$B$74,2,FALSE)="Fixed","Fixed",(AA$70)))</f>
        <v>Fixed</v>
      </c>
      <c r="AB73" s="25">
        <f t="shared" ref="AB73:AB85" si="43">ROUND(IF(AA73="Fixed",Z73,(Z73*AA73)),2)</f>
        <v>0.04</v>
      </c>
      <c r="AD73" s="173">
        <f>INDEX(Input!$C$62:$AM$74,MATCH($A73,Input!$A$62:$A$74,0),MATCH(AD$61,Input!$C$61:$AM$61,0))</f>
        <v>0.04</v>
      </c>
      <c r="AE73" s="31" t="str">
        <f>IF(VLOOKUP($A73,Input!$A$62:$B$74,2,FALSE)="Percentage",AF$70,IF(VLOOKUP($A73,Input!$A$62:$B$74,2,FALSE)="Fixed","Fixed",(AE$70)))</f>
        <v>Fixed</v>
      </c>
      <c r="AF73" s="25">
        <f t="shared" ref="AF73:AF85" si="44">ROUND(IF(AE73="Fixed",AD73,(AD73*AE73)),2)</f>
        <v>0.04</v>
      </c>
      <c r="AH73" s="173">
        <f>INDEX(Input!$C$62:$AM$74,MATCH($A73,Input!$A$62:$A$74,0),MATCH(AH$61,Input!$C$61:$AM$61,0))</f>
        <v>0.04</v>
      </c>
      <c r="AI73" s="31" t="str">
        <f>IF(VLOOKUP($A73,Input!$A$62:$B$74,2,FALSE)="Percentage",AJ$70,IF(VLOOKUP($A73,Input!$A$62:$B$74,2,FALSE)="Fixed","Fixed",(AI$70)))</f>
        <v>Fixed</v>
      </c>
      <c r="AJ73" s="25">
        <f t="shared" ref="AJ73:AJ85" si="45">ROUND(IF(AI73="Fixed",AH73,(AH73*AI73)),2)</f>
        <v>0.04</v>
      </c>
      <c r="AL73" s="173">
        <f>INDEX(Input!$C$62:$AM$74,MATCH($A73,Input!$A$62:$A$74,0),MATCH(AL$61,Input!$C$61:$AM$61,0))</f>
        <v>0.04</v>
      </c>
      <c r="AM73" s="31" t="str">
        <f>IF(VLOOKUP($A73,Input!$A$62:$B$74,2,FALSE)="Percentage",AN$70,IF(VLOOKUP($A73,Input!$A$62:$B$74,2,FALSE)="Fixed","Fixed",(AM$70)))</f>
        <v>Fixed</v>
      </c>
      <c r="AN73" s="25">
        <f t="shared" ref="AN73:AN85" si="46">ROUND(IF(AM73="Fixed",AL73,(AL73*AM73)),2)</f>
        <v>0.04</v>
      </c>
      <c r="AP73" s="173">
        <f>INDEX(Input!$C$62:$AM$74,MATCH($A73,Input!$A$62:$A$74,0),MATCH(AP$61,Input!$C$61:$AM$61,0))</f>
        <v>0.04</v>
      </c>
      <c r="AQ73" s="31" t="str">
        <f>IF(VLOOKUP($A73,Input!$A$62:$B$74,2,FALSE)="Percentage",AR$70,IF(VLOOKUP($A73,Input!$A$62:$B$74,2,FALSE)="Fixed","Fixed",(AQ$70)))</f>
        <v>Fixed</v>
      </c>
      <c r="AR73" s="25">
        <f t="shared" ref="AR73:AR85" si="47">ROUND(IF(AQ73="Fixed",AP73,(AP73*AQ73)),2)</f>
        <v>0.04</v>
      </c>
      <c r="AS73" s="30"/>
      <c r="AT73" s="173">
        <f>INDEX(Input!$C$62:$AM$74,MATCH($A73,Input!$A$62:$A$74,0),MATCH(AT$61,Input!$C$61:$AM$61,0))</f>
        <v>0.04</v>
      </c>
      <c r="AU73" s="31" t="str">
        <f>IF(VLOOKUP($A73,Input!$A$62:$B$74,2,FALSE)="Percentage",AV$70,IF(VLOOKUP($A73,Input!$A$62:$B$74,2,FALSE)="Fixed","Fixed",(AU$70)))</f>
        <v>Fixed</v>
      </c>
      <c r="AV73" s="25">
        <f t="shared" ref="AV73:AV85" si="48">ROUND(IF(AU73="Fixed",AT73,(AT73*AU73)),2)</f>
        <v>0.04</v>
      </c>
    </row>
    <row r="74" spans="1:48" x14ac:dyDescent="0.55000000000000004">
      <c r="A74" t="str">
        <f t="shared" si="36"/>
        <v>SRF 2</v>
      </c>
      <c r="B74" s="173">
        <f>INDEX(Input!$C$62:$AM$74,MATCH($A74,Input!$A$62:$A$74,0),MATCH(B$61,Input!$C$61:$AM$61,0))</f>
        <v>0.02</v>
      </c>
      <c r="C74" s="31" t="str">
        <f>IF(VLOOKUP($A74,Input!$A$62:$B$74,2,FALSE)="Percentage",D$70,IF(VLOOKUP($A74,Input!$A$62:$B$74,2,FALSE)="Fixed","Fixed",(C$70)))</f>
        <v>Fixed</v>
      </c>
      <c r="D74" s="25">
        <f t="shared" si="37"/>
        <v>0.02</v>
      </c>
      <c r="F74" s="173">
        <f>INDEX(Input!$C$62:$AM$74,MATCH($A74,Input!$A$62:$A$74,0),MATCH(F$61,Input!$C$61:$AM$61,0))</f>
        <v>0.02</v>
      </c>
      <c r="G74" s="31" t="str">
        <f>IF(VLOOKUP($A74,Input!$A$62:$B$74,2,FALSE)="Percentage",H$70,IF(VLOOKUP($A74,Input!$A$62:$B$74,2,FALSE)="Fixed","Fixed",(G$70)))</f>
        <v>Fixed</v>
      </c>
      <c r="H74" s="25">
        <f t="shared" si="38"/>
        <v>0.02</v>
      </c>
      <c r="J74" s="173">
        <f>INDEX(Input!$C$62:$AM$74,MATCH($A74,Input!$A$62:$A$74,0),MATCH(J$61,Input!$C$61:$AM$61,0))</f>
        <v>0.02</v>
      </c>
      <c r="K74" s="31" t="str">
        <f>IF(VLOOKUP($A74,Input!$A$62:$B$74,2,FALSE)="Percentage",L$70,IF(VLOOKUP($A74,Input!$A$62:$B$74,2,FALSE)="Fixed","Fixed",(K$70)))</f>
        <v>Fixed</v>
      </c>
      <c r="L74" s="25">
        <f t="shared" si="39"/>
        <v>0.02</v>
      </c>
      <c r="N74" s="173">
        <f>INDEX(Input!$C$62:$AM$74,MATCH($A74,Input!$A$62:$A$74,0),MATCH(N$61,Input!$C$61:$AM$61,0))</f>
        <v>0.02</v>
      </c>
      <c r="O74" s="31" t="str">
        <f>IF(VLOOKUP($A74,Input!$A$62:$B$74,2,FALSE)="Percentage",P$70,IF(VLOOKUP($A74,Input!$A$62:$B$74,2,FALSE)="Fixed","Fixed",(O$70)))</f>
        <v>Fixed</v>
      </c>
      <c r="P74" s="25">
        <f t="shared" si="40"/>
        <v>0.02</v>
      </c>
      <c r="R74" s="173">
        <f>INDEX(Input!$C$62:$AM$74,MATCH($A74,Input!$A$62:$A$74,0),MATCH(R$61,Input!$C$61:$AM$61,0))</f>
        <v>0.02</v>
      </c>
      <c r="S74" s="31" t="str">
        <f>IF(VLOOKUP($A74,Input!$A$62:$B$74,2,FALSE)="Percentage",T$70,IF(VLOOKUP($A74,Input!$A$62:$B$74,2,FALSE)="Fixed","Fixed",(S$70)))</f>
        <v>Fixed</v>
      </c>
      <c r="T74" s="25">
        <f t="shared" si="41"/>
        <v>0.02</v>
      </c>
      <c r="V74" s="173">
        <f>INDEX(Input!$C$62:$AM$74,MATCH($A74,Input!$A$62:$A$74,0),MATCH(V$61,Input!$C$61:$AM$61,0))</f>
        <v>0.02</v>
      </c>
      <c r="W74" s="31" t="str">
        <f>IF(VLOOKUP($A74,Input!$A$62:$B$74,2,FALSE)="Percentage",X$70,IF(VLOOKUP($A74,Input!$A$62:$B$74,2,FALSE)="Fixed","Fixed",(W$70)))</f>
        <v>Fixed</v>
      </c>
      <c r="X74" s="25">
        <f t="shared" si="42"/>
        <v>0.02</v>
      </c>
      <c r="Z74" s="173">
        <f>INDEX(Input!$C$62:$AM$74,MATCH($A74,Input!$A$62:$A$74,0),MATCH(Z$61,Input!$C$61:$AM$61,0))</f>
        <v>0.02</v>
      </c>
      <c r="AA74" s="31" t="str">
        <f>IF(VLOOKUP($A74,Input!$A$62:$B$74,2,FALSE)="Percentage",AB$70,IF(VLOOKUP($A74,Input!$A$62:$B$74,2,FALSE)="Fixed","Fixed",(AA$70)))</f>
        <v>Fixed</v>
      </c>
      <c r="AB74" s="25">
        <f t="shared" si="43"/>
        <v>0.02</v>
      </c>
      <c r="AD74" s="173">
        <f>INDEX(Input!$C$62:$AM$74,MATCH($A74,Input!$A$62:$A$74,0),MATCH(AD$61,Input!$C$61:$AM$61,0))</f>
        <v>0.02</v>
      </c>
      <c r="AE74" s="31" t="str">
        <f>IF(VLOOKUP($A74,Input!$A$62:$B$74,2,FALSE)="Percentage",AF$70,IF(VLOOKUP($A74,Input!$A$62:$B$74,2,FALSE)="Fixed","Fixed",(AE$70)))</f>
        <v>Fixed</v>
      </c>
      <c r="AF74" s="25">
        <f t="shared" si="44"/>
        <v>0.02</v>
      </c>
      <c r="AH74" s="173">
        <f>INDEX(Input!$C$62:$AM$74,MATCH($A74,Input!$A$62:$A$74,0),MATCH(AH$61,Input!$C$61:$AM$61,0))</f>
        <v>0.02</v>
      </c>
      <c r="AI74" s="31" t="str">
        <f>IF(VLOOKUP($A74,Input!$A$62:$B$74,2,FALSE)="Percentage",AJ$70,IF(VLOOKUP($A74,Input!$A$62:$B$74,2,FALSE)="Fixed","Fixed",(AI$70)))</f>
        <v>Fixed</v>
      </c>
      <c r="AJ74" s="25">
        <f t="shared" si="45"/>
        <v>0.02</v>
      </c>
      <c r="AL74" s="173">
        <f>INDEX(Input!$C$62:$AM$74,MATCH($A74,Input!$A$62:$A$74,0),MATCH(AL$61,Input!$C$61:$AM$61,0))</f>
        <v>0.02</v>
      </c>
      <c r="AM74" s="31" t="str">
        <f>IF(VLOOKUP($A74,Input!$A$62:$B$74,2,FALSE)="Percentage",AN$70,IF(VLOOKUP($A74,Input!$A$62:$B$74,2,FALSE)="Fixed","Fixed",(AM$70)))</f>
        <v>Fixed</v>
      </c>
      <c r="AN74" s="25">
        <f t="shared" si="46"/>
        <v>0.02</v>
      </c>
      <c r="AP74" s="173">
        <f>INDEX(Input!$C$62:$AM$74,MATCH($A74,Input!$A$62:$A$74,0),MATCH(AP$61,Input!$C$61:$AM$61,0))</f>
        <v>0.02</v>
      </c>
      <c r="AQ74" s="31" t="str">
        <f>IF(VLOOKUP($A74,Input!$A$62:$B$74,2,FALSE)="Percentage",AR$70,IF(VLOOKUP($A74,Input!$A$62:$B$74,2,FALSE)="Fixed","Fixed",(AQ$70)))</f>
        <v>Fixed</v>
      </c>
      <c r="AR74" s="25">
        <f t="shared" si="47"/>
        <v>0.02</v>
      </c>
      <c r="AS74" s="30"/>
      <c r="AT74" s="173">
        <f>INDEX(Input!$C$62:$AM$74,MATCH($A74,Input!$A$62:$A$74,0),MATCH(AT$61,Input!$C$61:$AM$61,0))</f>
        <v>0.02</v>
      </c>
      <c r="AU74" s="31" t="str">
        <f>IF(VLOOKUP($A74,Input!$A$62:$B$74,2,FALSE)="Percentage",AV$70,IF(VLOOKUP($A74,Input!$A$62:$B$74,2,FALSE)="Fixed","Fixed",(AU$70)))</f>
        <v>Fixed</v>
      </c>
      <c r="AV74" s="25">
        <f t="shared" si="48"/>
        <v>0.02</v>
      </c>
    </row>
    <row r="75" spans="1:48" x14ac:dyDescent="0.55000000000000004">
      <c r="A75" t="str">
        <f t="shared" si="36"/>
        <v>WRAP</v>
      </c>
      <c r="B75" s="173">
        <f>INDEX(Input!$C$62:$AM$74,MATCH($A75,Input!$A$62:$A$74,0),MATCH(B$61,Input!$C$61:$AM$61,0))</f>
        <v>-0.15</v>
      </c>
      <c r="C75" s="31">
        <f>IF(VLOOKUP($A75,Input!$A$62:$B$74,2,FALSE)="Percentage",D$70,IF(VLOOKUP($A75,Input!$A$62:$B$74,2,FALSE)="Fixed","Fixed",(C$70)))</f>
        <v>69.3</v>
      </c>
      <c r="D75" s="25">
        <f t="shared" si="37"/>
        <v>-10.4</v>
      </c>
      <c r="F75" s="173">
        <f>INDEX(Input!$C$62:$AM$74,MATCH($A75,Input!$A$62:$A$74,0),MATCH(F$61,Input!$C$61:$AM$61,0))</f>
        <v>-0.15</v>
      </c>
      <c r="G75" s="31">
        <f>IF(VLOOKUP($A75,Input!$A$62:$B$74,2,FALSE)="Percentage",H$70,IF(VLOOKUP($A75,Input!$A$62:$B$74,2,FALSE)="Fixed","Fixed",(G$70)))</f>
        <v>69.3</v>
      </c>
      <c r="H75" s="25">
        <f t="shared" si="38"/>
        <v>-10.4</v>
      </c>
      <c r="J75" s="173">
        <f>INDEX(Input!$C$62:$AM$74,MATCH($A75,Input!$A$62:$A$74,0),MATCH(J$61,Input!$C$61:$AM$61,0))</f>
        <v>-0.15</v>
      </c>
      <c r="K75" s="31">
        <f>IF(VLOOKUP($A75,Input!$A$62:$B$74,2,FALSE)="Percentage",L$70,IF(VLOOKUP($A75,Input!$A$62:$B$74,2,FALSE)="Fixed","Fixed",(K$70)))</f>
        <v>69.3</v>
      </c>
      <c r="L75" s="25">
        <f t="shared" si="39"/>
        <v>-10.4</v>
      </c>
      <c r="N75" s="173">
        <f>INDEX(Input!$C$62:$AM$74,MATCH($A75,Input!$A$62:$A$74,0),MATCH(N$61,Input!$C$61:$AM$61,0))</f>
        <v>-0.15</v>
      </c>
      <c r="O75" s="31">
        <f>IF(VLOOKUP($A75,Input!$A$62:$B$74,2,FALSE)="Percentage",P$70,IF(VLOOKUP($A75,Input!$A$62:$B$74,2,FALSE)="Fixed","Fixed",(O$70)))</f>
        <v>69.3</v>
      </c>
      <c r="P75" s="25">
        <f t="shared" si="40"/>
        <v>-10.4</v>
      </c>
      <c r="R75" s="173">
        <f>INDEX(Input!$C$62:$AM$74,MATCH($A75,Input!$A$62:$A$74,0),MATCH(R$61,Input!$C$61:$AM$61,0))</f>
        <v>-0.15</v>
      </c>
      <c r="S75" s="31">
        <f>IF(VLOOKUP($A75,Input!$A$62:$B$74,2,FALSE)="Percentage",T$70,IF(VLOOKUP($A75,Input!$A$62:$B$74,2,FALSE)="Fixed","Fixed",(S$70)))</f>
        <v>69.3</v>
      </c>
      <c r="T75" s="25">
        <f t="shared" si="41"/>
        <v>-10.4</v>
      </c>
      <c r="V75" s="173">
        <f>INDEX(Input!$C$62:$AM$74,MATCH($A75,Input!$A$62:$A$74,0),MATCH(V$61,Input!$C$61:$AM$61,0))</f>
        <v>-0.15</v>
      </c>
      <c r="W75" s="31">
        <f>IF(VLOOKUP($A75,Input!$A$62:$B$74,2,FALSE)="Percentage",X$70,IF(VLOOKUP($A75,Input!$A$62:$B$74,2,FALSE)="Fixed","Fixed",(W$70)))</f>
        <v>69.3</v>
      </c>
      <c r="X75" s="25">
        <f t="shared" si="42"/>
        <v>-10.4</v>
      </c>
      <c r="Z75" s="173">
        <f>INDEX(Input!$C$62:$AM$74,MATCH($A75,Input!$A$62:$A$74,0),MATCH(Z$61,Input!$C$61:$AM$61,0))</f>
        <v>-0.15</v>
      </c>
      <c r="AA75" s="31">
        <f>IF(VLOOKUP($A75,Input!$A$62:$B$74,2,FALSE)="Percentage",AB$70,IF(VLOOKUP($A75,Input!$A$62:$B$74,2,FALSE)="Fixed","Fixed",(AA$70)))</f>
        <v>72.42</v>
      </c>
      <c r="AB75" s="25">
        <f t="shared" si="43"/>
        <v>-10.86</v>
      </c>
      <c r="AD75" s="173">
        <f>INDEX(Input!$C$62:$AM$74,MATCH($A75,Input!$A$62:$A$74,0),MATCH(AD$61,Input!$C$61:$AM$61,0))</f>
        <v>-0.15</v>
      </c>
      <c r="AE75" s="31">
        <f>IF(VLOOKUP($A75,Input!$A$62:$B$74,2,FALSE)="Percentage",AF$70,IF(VLOOKUP($A75,Input!$A$62:$B$74,2,FALSE)="Fixed","Fixed",(AE$70)))</f>
        <v>72.42</v>
      </c>
      <c r="AF75" s="25">
        <f t="shared" si="44"/>
        <v>-10.86</v>
      </c>
      <c r="AH75" s="173">
        <f>INDEX(Input!$C$62:$AM$74,MATCH($A75,Input!$A$62:$A$74,0),MATCH(AH$61,Input!$C$61:$AM$61,0))</f>
        <v>-0.15</v>
      </c>
      <c r="AI75" s="31">
        <f>IF(VLOOKUP($A75,Input!$A$62:$B$74,2,FALSE)="Percentage",AJ$70,IF(VLOOKUP($A75,Input!$A$62:$B$74,2,FALSE)="Fixed","Fixed",(AI$70)))</f>
        <v>72.42</v>
      </c>
      <c r="AJ75" s="25">
        <f t="shared" si="45"/>
        <v>-10.86</v>
      </c>
      <c r="AL75" s="173">
        <f>INDEX(Input!$C$62:$AM$74,MATCH($A75,Input!$A$62:$A$74,0),MATCH(AL$61,Input!$C$61:$AM$61,0))</f>
        <v>-0.15</v>
      </c>
      <c r="AM75" s="31">
        <f>IF(VLOOKUP($A75,Input!$A$62:$B$74,2,FALSE)="Percentage",AN$70,IF(VLOOKUP($A75,Input!$A$62:$B$74,2,FALSE)="Fixed","Fixed",(AM$70)))</f>
        <v>72.42</v>
      </c>
      <c r="AN75" s="25">
        <f t="shared" si="46"/>
        <v>-10.86</v>
      </c>
      <c r="AP75" s="173">
        <f>INDEX(Input!$C$62:$AM$74,MATCH($A75,Input!$A$62:$A$74,0),MATCH(AP$61,Input!$C$61:$AM$61,0))</f>
        <v>-0.15</v>
      </c>
      <c r="AQ75" s="31">
        <f>IF(VLOOKUP($A75,Input!$A$62:$B$74,2,FALSE)="Percentage",AR$70,IF(VLOOKUP($A75,Input!$A$62:$B$74,2,FALSE)="Fixed","Fixed",(AQ$70)))</f>
        <v>74.88</v>
      </c>
      <c r="AR75" s="25">
        <f t="shared" si="47"/>
        <v>-11.23</v>
      </c>
      <c r="AS75" s="30"/>
      <c r="AT75" s="173">
        <f>INDEX(Input!$C$62:$AM$74,MATCH($A75,Input!$A$62:$A$74,0),MATCH(AT$61,Input!$C$61:$AM$61,0))</f>
        <v>-0.15</v>
      </c>
      <c r="AU75" s="31">
        <f>IF(VLOOKUP($A75,Input!$A$62:$B$74,2,FALSE)="Percentage",AV$70,IF(VLOOKUP($A75,Input!$A$62:$B$74,2,FALSE)="Fixed","Fixed",(AU$70)))</f>
        <v>74.88</v>
      </c>
      <c r="AV75" s="25">
        <f t="shared" si="48"/>
        <v>-11.23</v>
      </c>
    </row>
    <row r="76" spans="1:48" x14ac:dyDescent="0.55000000000000004">
      <c r="A76" t="str">
        <f t="shared" si="36"/>
        <v>PRVMA</v>
      </c>
      <c r="B76" s="173">
        <f>INDEX(Input!$C$62:$AM$74,MATCH($A76,Input!$A$62:$A$74,0),MATCH(B$61,Input!$C$61:$AM$61,0))</f>
        <v>8.8400000000000006E-3</v>
      </c>
      <c r="C76" s="31">
        <f>IF(VLOOKUP($A76,Input!$A$62:$B$74,2,FALSE)="Percentage",D$70,IF(VLOOKUP($A76,Input!$A$62:$B$74,2,FALSE)="Fixed","Fixed",(C$70)))</f>
        <v>6</v>
      </c>
      <c r="D76" s="25">
        <f t="shared" si="37"/>
        <v>0.05</v>
      </c>
      <c r="F76" s="173">
        <f>INDEX(Input!$C$62:$AM$74,MATCH($A76,Input!$A$62:$A$74,0),MATCH(F$61,Input!$C$61:$AM$61,0))</f>
        <v>8.8400000000000006E-3</v>
      </c>
      <c r="G76" s="31">
        <f>IF(VLOOKUP($A76,Input!$A$62:$B$74,2,FALSE)="Percentage",H$70,IF(VLOOKUP($A76,Input!$A$62:$B$74,2,FALSE)="Fixed","Fixed",(G$70)))</f>
        <v>6</v>
      </c>
      <c r="H76" s="25">
        <f t="shared" si="38"/>
        <v>0.05</v>
      </c>
      <c r="J76" s="173">
        <f>INDEX(Input!$C$62:$AM$74,MATCH($A76,Input!$A$62:$A$74,0),MATCH(J$61,Input!$C$61:$AM$61,0))</f>
        <v>8.8400000000000006E-3</v>
      </c>
      <c r="K76" s="31">
        <f>IF(VLOOKUP($A76,Input!$A$62:$B$74,2,FALSE)="Percentage",L$70,IF(VLOOKUP($A76,Input!$A$62:$B$74,2,FALSE)="Fixed","Fixed",(K$70)))</f>
        <v>6</v>
      </c>
      <c r="L76" s="25">
        <f t="shared" si="39"/>
        <v>0.05</v>
      </c>
      <c r="N76" s="173">
        <f>INDEX(Input!$C$62:$AM$74,MATCH($A76,Input!$A$62:$A$74,0),MATCH(N$61,Input!$C$61:$AM$61,0))</f>
        <v>8.8400000000000006E-3</v>
      </c>
      <c r="O76" s="31">
        <f>IF(VLOOKUP($A76,Input!$A$62:$B$74,2,FALSE)="Percentage",P$70,IF(VLOOKUP($A76,Input!$A$62:$B$74,2,FALSE)="Fixed","Fixed",(O$70)))</f>
        <v>6</v>
      </c>
      <c r="P76" s="25">
        <f t="shared" si="40"/>
        <v>0.05</v>
      </c>
      <c r="R76" s="173">
        <f>INDEX(Input!$C$62:$AM$74,MATCH($A76,Input!$A$62:$A$74,0),MATCH(R$61,Input!$C$61:$AM$61,0))</f>
        <v>8.8400000000000006E-3</v>
      </c>
      <c r="S76" s="31">
        <f>IF(VLOOKUP($A76,Input!$A$62:$B$74,2,FALSE)="Percentage",T$70,IF(VLOOKUP($A76,Input!$A$62:$B$74,2,FALSE)="Fixed","Fixed",(S$70)))</f>
        <v>6</v>
      </c>
      <c r="T76" s="25">
        <f t="shared" si="41"/>
        <v>0.05</v>
      </c>
      <c r="V76" s="173">
        <f>INDEX(Input!$C$62:$AM$74,MATCH($A76,Input!$A$62:$A$74,0),MATCH(V$61,Input!$C$61:$AM$61,0))</f>
        <v>8.8400000000000006E-3</v>
      </c>
      <c r="W76" s="31">
        <f>IF(VLOOKUP($A76,Input!$A$62:$B$74,2,FALSE)="Percentage",X$70,IF(VLOOKUP($A76,Input!$A$62:$B$74,2,FALSE)="Fixed","Fixed",(W$70)))</f>
        <v>6</v>
      </c>
      <c r="X76" s="25">
        <f t="shared" si="42"/>
        <v>0.05</v>
      </c>
      <c r="Z76" s="173">
        <f>INDEX(Input!$C$62:$AM$74,MATCH($A76,Input!$A$62:$A$74,0),MATCH(Z$61,Input!$C$61:$AM$61,0))</f>
        <v>8.8400000000000006E-3</v>
      </c>
      <c r="AA76" s="31">
        <f>IF(VLOOKUP($A76,Input!$A$62:$B$74,2,FALSE)="Percentage",AB$70,IF(VLOOKUP($A76,Input!$A$62:$B$74,2,FALSE)="Fixed","Fixed",(AA$70)))</f>
        <v>6</v>
      </c>
      <c r="AB76" s="25">
        <f t="shared" si="43"/>
        <v>0.05</v>
      </c>
      <c r="AD76" s="173">
        <f>INDEX(Input!$C$62:$AM$74,MATCH($A76,Input!$A$62:$A$74,0),MATCH(AD$61,Input!$C$61:$AM$61,0))</f>
        <v>8.8400000000000006E-3</v>
      </c>
      <c r="AE76" s="31">
        <f>IF(VLOOKUP($A76,Input!$A$62:$B$74,2,FALSE)="Percentage",AF$70,IF(VLOOKUP($A76,Input!$A$62:$B$74,2,FALSE)="Fixed","Fixed",(AE$70)))</f>
        <v>6</v>
      </c>
      <c r="AF76" s="25">
        <f t="shared" si="44"/>
        <v>0.05</v>
      </c>
      <c r="AH76" s="173">
        <f>INDEX(Input!$C$62:$AM$74,MATCH($A76,Input!$A$62:$A$74,0),MATCH(AH$61,Input!$C$61:$AM$61,0))</f>
        <v>8.8400000000000006E-3</v>
      </c>
      <c r="AI76" s="31">
        <f>IF(VLOOKUP($A76,Input!$A$62:$B$74,2,FALSE)="Percentage",AJ$70,IF(VLOOKUP($A76,Input!$A$62:$B$74,2,FALSE)="Fixed","Fixed",(AI$70)))</f>
        <v>6</v>
      </c>
      <c r="AJ76" s="25">
        <f t="shared" si="45"/>
        <v>0.05</v>
      </c>
      <c r="AL76" s="173">
        <f>INDEX(Input!$C$62:$AM$74,MATCH($A76,Input!$A$62:$A$74,0),MATCH(AL$61,Input!$C$61:$AM$61,0))</f>
        <v>8.8400000000000006E-3</v>
      </c>
      <c r="AM76" s="31">
        <f>IF(VLOOKUP($A76,Input!$A$62:$B$74,2,FALSE)="Percentage",AN$70,IF(VLOOKUP($A76,Input!$A$62:$B$74,2,FALSE)="Fixed","Fixed",(AM$70)))</f>
        <v>6</v>
      </c>
      <c r="AN76" s="25">
        <f t="shared" si="46"/>
        <v>0.05</v>
      </c>
      <c r="AP76" s="173">
        <f>INDEX(Input!$C$62:$AM$74,MATCH($A76,Input!$A$62:$A$74,0),MATCH(AP$61,Input!$C$61:$AM$61,0))</f>
        <v>8.8400000000000006E-3</v>
      </c>
      <c r="AQ76" s="31">
        <f>IF(VLOOKUP($A76,Input!$A$62:$B$74,2,FALSE)="Percentage",AR$70,IF(VLOOKUP($A76,Input!$A$62:$B$74,2,FALSE)="Fixed","Fixed",(AQ$70)))</f>
        <v>6</v>
      </c>
      <c r="AR76" s="25">
        <f t="shared" si="47"/>
        <v>0.05</v>
      </c>
      <c r="AS76" s="30"/>
      <c r="AT76" s="173">
        <f>INDEX(Input!$C$62:$AM$74,MATCH($A76,Input!$A$62:$A$74,0),MATCH(AT$61,Input!$C$61:$AM$61,0))</f>
        <v>8.8400000000000006E-3</v>
      </c>
      <c r="AU76" s="31">
        <f>IF(VLOOKUP($A76,Input!$A$62:$B$74,2,FALSE)="Percentage",AV$70,IF(VLOOKUP($A76,Input!$A$62:$B$74,2,FALSE)="Fixed","Fixed",(AU$70)))</f>
        <v>6</v>
      </c>
      <c r="AV76" s="25">
        <f t="shared" si="48"/>
        <v>0.05</v>
      </c>
    </row>
    <row r="77" spans="1:48" x14ac:dyDescent="0.55000000000000004">
      <c r="A77" t="str">
        <f t="shared" si="36"/>
        <v>2022 Surcredit</v>
      </c>
      <c r="B77" s="173">
        <f>INDEX(Input!$C$62:$AM$74,MATCH($A77,Input!$A$62:$A$74,0),MATCH(B$61,Input!$C$61:$AM$61,0))</f>
        <v>0</v>
      </c>
      <c r="C77" s="31" t="str">
        <f>IF(VLOOKUP($A77,Input!$A$62:$B$74,2,FALSE)="Percentage",D$70,IF(VLOOKUP($A77,Input!$A$62:$B$74,2,FALSE)="Fixed","Fixed",(C$70)))</f>
        <v>Fixed</v>
      </c>
      <c r="D77" s="25">
        <f t="shared" si="37"/>
        <v>0</v>
      </c>
      <c r="F77" s="173">
        <f>INDEX(Input!$C$62:$AM$74,MATCH($A77,Input!$A$62:$A$74,0),MATCH(F$61,Input!$C$61:$AM$61,0))</f>
        <v>0</v>
      </c>
      <c r="G77" s="31" t="str">
        <f>IF(VLOOKUP($A77,Input!$A$62:$B$74,2,FALSE)="Percentage",H$70,IF(VLOOKUP($A77,Input!$A$62:$B$74,2,FALSE)="Fixed","Fixed",(G$70)))</f>
        <v>Fixed</v>
      </c>
      <c r="H77" s="25">
        <f t="shared" si="38"/>
        <v>0</v>
      </c>
      <c r="J77" s="173">
        <f>INDEX(Input!$C$62:$AM$74,MATCH($A77,Input!$A$62:$A$74,0),MATCH(J$61,Input!$C$61:$AM$61,0))</f>
        <v>0</v>
      </c>
      <c r="K77" s="31" t="str">
        <f>IF(VLOOKUP($A77,Input!$A$62:$B$74,2,FALSE)="Percentage",L$70,IF(VLOOKUP($A77,Input!$A$62:$B$74,2,FALSE)="Fixed","Fixed",(K$70)))</f>
        <v>Fixed</v>
      </c>
      <c r="L77" s="25">
        <f t="shared" si="39"/>
        <v>0</v>
      </c>
      <c r="N77" s="173">
        <f>INDEX(Input!$C$62:$AM$74,MATCH($A77,Input!$A$62:$A$74,0),MATCH(N$61,Input!$C$61:$AM$61,0))</f>
        <v>0</v>
      </c>
      <c r="O77" s="31" t="str">
        <f>IF(VLOOKUP($A77,Input!$A$62:$B$74,2,FALSE)="Percentage",P$70,IF(VLOOKUP($A77,Input!$A$62:$B$74,2,FALSE)="Fixed","Fixed",(O$70)))</f>
        <v>Fixed</v>
      </c>
      <c r="P77" s="25">
        <f t="shared" si="40"/>
        <v>0</v>
      </c>
      <c r="R77" s="173">
        <f>INDEX(Input!$C$62:$AM$74,MATCH($A77,Input!$A$62:$A$74,0),MATCH(R$61,Input!$C$61:$AM$61,0))</f>
        <v>0</v>
      </c>
      <c r="S77" s="31" t="str">
        <f>IF(VLOOKUP($A77,Input!$A$62:$B$74,2,FALSE)="Percentage",T$70,IF(VLOOKUP($A77,Input!$A$62:$B$74,2,FALSE)="Fixed","Fixed",(S$70)))</f>
        <v>Fixed</v>
      </c>
      <c r="T77" s="25">
        <f t="shared" si="41"/>
        <v>0</v>
      </c>
      <c r="V77" s="173">
        <f>INDEX(Input!$C$62:$AM$74,MATCH($A77,Input!$A$62:$A$74,0),MATCH(V$61,Input!$C$61:$AM$61,0))</f>
        <v>0</v>
      </c>
      <c r="W77" s="31" t="str">
        <f>IF(VLOOKUP($A77,Input!$A$62:$B$74,2,FALSE)="Percentage",X$70,IF(VLOOKUP($A77,Input!$A$62:$B$74,2,FALSE)="Fixed","Fixed",(W$70)))</f>
        <v>Fixed</v>
      </c>
      <c r="X77" s="25">
        <f t="shared" si="42"/>
        <v>0</v>
      </c>
      <c r="Z77" s="173">
        <f>INDEX(Input!$C$62:$AM$74,MATCH($A77,Input!$A$62:$A$74,0),MATCH(Z$61,Input!$C$61:$AM$61,0))</f>
        <v>0</v>
      </c>
      <c r="AA77" s="31" t="str">
        <f>IF(VLOOKUP($A77,Input!$A$62:$B$74,2,FALSE)="Percentage",AB$70,IF(VLOOKUP($A77,Input!$A$62:$B$74,2,FALSE)="Fixed","Fixed",(AA$70)))</f>
        <v>Fixed</v>
      </c>
      <c r="AB77" s="25">
        <f t="shared" si="43"/>
        <v>0</v>
      </c>
      <c r="AD77" s="173">
        <f>INDEX(Input!$C$62:$AM$74,MATCH($A77,Input!$A$62:$A$74,0),MATCH(AD$61,Input!$C$61:$AM$61,0))</f>
        <v>0</v>
      </c>
      <c r="AE77" s="31" t="str">
        <f>IF(VLOOKUP($A77,Input!$A$62:$B$74,2,FALSE)="Percentage",AF$70,IF(VLOOKUP($A77,Input!$A$62:$B$74,2,FALSE)="Fixed","Fixed",(AE$70)))</f>
        <v>Fixed</v>
      </c>
      <c r="AF77" s="25">
        <f t="shared" si="44"/>
        <v>0</v>
      </c>
      <c r="AH77" s="173">
        <f>INDEX(Input!$C$62:$AM$74,MATCH($A77,Input!$A$62:$A$74,0),MATCH(AH$61,Input!$C$61:$AM$61,0))</f>
        <v>0</v>
      </c>
      <c r="AI77" s="31" t="str">
        <f>IF(VLOOKUP($A77,Input!$A$62:$B$74,2,FALSE)="Percentage",AJ$70,IF(VLOOKUP($A77,Input!$A$62:$B$74,2,FALSE)="Fixed","Fixed",(AI$70)))</f>
        <v>Fixed</v>
      </c>
      <c r="AJ77" s="25">
        <f t="shared" si="45"/>
        <v>0</v>
      </c>
      <c r="AL77" s="173">
        <f>INDEX(Input!$C$62:$AM$74,MATCH($A77,Input!$A$62:$A$74,0),MATCH(AL$61,Input!$C$61:$AM$61,0))</f>
        <v>0</v>
      </c>
      <c r="AM77" s="31" t="str">
        <f>IF(VLOOKUP($A77,Input!$A$62:$B$74,2,FALSE)="Percentage",AN$70,IF(VLOOKUP($A77,Input!$A$62:$B$74,2,FALSE)="Fixed","Fixed",(AM$70)))</f>
        <v>Fixed</v>
      </c>
      <c r="AN77" s="25">
        <f t="shared" si="46"/>
        <v>0</v>
      </c>
      <c r="AP77" s="173">
        <f>INDEX(Input!$C$62:$AM$74,MATCH($A77,Input!$A$62:$A$74,0),MATCH(AP$61,Input!$C$61:$AM$61,0))</f>
        <v>-5.65</v>
      </c>
      <c r="AQ77" s="31" t="str">
        <f>IF(VLOOKUP($A77,Input!$A$62:$B$74,2,FALSE)="Percentage",AR$70,IF(VLOOKUP($A77,Input!$A$62:$B$74,2,FALSE)="Fixed","Fixed",(AQ$70)))</f>
        <v>Fixed</v>
      </c>
      <c r="AR77" s="25">
        <f t="shared" si="47"/>
        <v>-5.65</v>
      </c>
      <c r="AS77" s="30"/>
      <c r="AT77" s="173">
        <f>INDEX(Input!$C$62:$AM$74,MATCH($A77,Input!$A$62:$A$74,0),MATCH(AT$61,Input!$C$61:$AM$61,0))</f>
        <v>0</v>
      </c>
      <c r="AU77" s="31" t="str">
        <f>IF(VLOOKUP($A77,Input!$A$62:$B$74,2,FALSE)="Percentage",AV$70,IF(VLOOKUP($A77,Input!$A$62:$B$74,2,FALSE)="Fixed","Fixed",(AU$70)))</f>
        <v>Fixed</v>
      </c>
      <c r="AV77" s="25">
        <f t="shared" si="48"/>
        <v>0</v>
      </c>
    </row>
    <row r="78" spans="1:48" x14ac:dyDescent="0.55000000000000004">
      <c r="A78" t="str">
        <f t="shared" si="36"/>
        <v>Interim Memo Account Surcharge</v>
      </c>
      <c r="B78" s="173">
        <f>INDEX(Input!$C$62:$AM$74,MATCH($A78,Input!$A$62:$A$74,0),MATCH(B$61,Input!$C$61:$AM$61,0))</f>
        <v>0</v>
      </c>
      <c r="C78" s="31">
        <f>IF(VLOOKUP($A78,Input!$A$62:$B$74,2,FALSE)="Percentage",D$70,IF(VLOOKUP($A78,Input!$A$62:$B$74,2,FALSE)="Fixed","Fixed",(C$70)))</f>
        <v>6</v>
      </c>
      <c r="D78" s="25">
        <f t="shared" si="37"/>
        <v>0</v>
      </c>
      <c r="F78" s="173">
        <f>INDEX(Input!$C$62:$AM$74,MATCH($A78,Input!$A$62:$A$74,0),MATCH(F$61,Input!$C$61:$AM$61,0))</f>
        <v>0</v>
      </c>
      <c r="G78" s="31">
        <f>IF(VLOOKUP($A78,Input!$A$62:$B$74,2,FALSE)="Percentage",H$70,IF(VLOOKUP($A78,Input!$A$62:$B$74,2,FALSE)="Fixed","Fixed",(G$70)))</f>
        <v>6</v>
      </c>
      <c r="H78" s="25">
        <f t="shared" si="38"/>
        <v>0</v>
      </c>
      <c r="J78" s="173">
        <f>INDEX(Input!$C$62:$AM$74,MATCH($A78,Input!$A$62:$A$74,0),MATCH(J$61,Input!$C$61:$AM$61,0))</f>
        <v>0</v>
      </c>
      <c r="K78" s="31">
        <f>IF(VLOOKUP($A78,Input!$A$62:$B$74,2,FALSE)="Percentage",L$70,IF(VLOOKUP($A78,Input!$A$62:$B$74,2,FALSE)="Fixed","Fixed",(K$70)))</f>
        <v>6</v>
      </c>
      <c r="L78" s="25">
        <f t="shared" si="39"/>
        <v>0</v>
      </c>
      <c r="N78" s="173">
        <f>INDEX(Input!$C$62:$AM$74,MATCH($A78,Input!$A$62:$A$74,0),MATCH(N$61,Input!$C$61:$AM$61,0))</f>
        <v>0</v>
      </c>
      <c r="O78" s="31">
        <f>IF(VLOOKUP($A78,Input!$A$62:$B$74,2,FALSE)="Percentage",P$70,IF(VLOOKUP($A78,Input!$A$62:$B$74,2,FALSE)="Fixed","Fixed",(O$70)))</f>
        <v>6</v>
      </c>
      <c r="P78" s="25">
        <f t="shared" si="40"/>
        <v>0</v>
      </c>
      <c r="R78" s="173">
        <f>INDEX(Input!$C$62:$AM$74,MATCH($A78,Input!$A$62:$A$74,0),MATCH(R$61,Input!$C$61:$AM$61,0))</f>
        <v>0</v>
      </c>
      <c r="S78" s="31">
        <f>IF(VLOOKUP($A78,Input!$A$62:$B$74,2,FALSE)="Percentage",T$70,IF(VLOOKUP($A78,Input!$A$62:$B$74,2,FALSE)="Fixed","Fixed",(S$70)))</f>
        <v>6</v>
      </c>
      <c r="T78" s="25">
        <f t="shared" si="41"/>
        <v>0</v>
      </c>
      <c r="V78" s="173">
        <f>INDEX(Input!$C$62:$AM$74,MATCH($A78,Input!$A$62:$A$74,0),MATCH(V$61,Input!$C$61:$AM$61,0))</f>
        <v>0</v>
      </c>
      <c r="W78" s="31">
        <f>IF(VLOOKUP($A78,Input!$A$62:$B$74,2,FALSE)="Percentage",X$70,IF(VLOOKUP($A78,Input!$A$62:$B$74,2,FALSE)="Fixed","Fixed",(W$70)))</f>
        <v>6</v>
      </c>
      <c r="X78" s="25">
        <f t="shared" si="42"/>
        <v>0</v>
      </c>
      <c r="Z78" s="173">
        <f>INDEX(Input!$C$62:$AM$74,MATCH($A78,Input!$A$62:$A$74,0),MATCH(Z$61,Input!$C$61:$AM$61,0))</f>
        <v>0</v>
      </c>
      <c r="AA78" s="31">
        <f>IF(VLOOKUP($A78,Input!$A$62:$B$74,2,FALSE)="Percentage",AB$70,IF(VLOOKUP($A78,Input!$A$62:$B$74,2,FALSE)="Fixed","Fixed",(AA$70)))</f>
        <v>6</v>
      </c>
      <c r="AB78" s="25">
        <f t="shared" si="43"/>
        <v>0</v>
      </c>
      <c r="AD78" s="173">
        <f>INDEX(Input!$C$62:$AM$74,MATCH($A78,Input!$A$62:$A$74,0),MATCH(AD$61,Input!$C$61:$AM$61,0))</f>
        <v>0</v>
      </c>
      <c r="AE78" s="31">
        <f>IF(VLOOKUP($A78,Input!$A$62:$B$74,2,FALSE)="Percentage",AF$70,IF(VLOOKUP($A78,Input!$A$62:$B$74,2,FALSE)="Fixed","Fixed",(AE$70)))</f>
        <v>6</v>
      </c>
      <c r="AF78" s="25">
        <f t="shared" si="44"/>
        <v>0</v>
      </c>
      <c r="AH78" s="173">
        <f>INDEX(Input!$C$62:$AM$74,MATCH($A78,Input!$A$62:$A$74,0),MATCH(AH$61,Input!$C$61:$AM$61,0))</f>
        <v>0</v>
      </c>
      <c r="AI78" s="31">
        <f>IF(VLOOKUP($A78,Input!$A$62:$B$74,2,FALSE)="Percentage",AJ$70,IF(VLOOKUP($A78,Input!$A$62:$B$74,2,FALSE)="Fixed","Fixed",(AI$70)))</f>
        <v>6</v>
      </c>
      <c r="AJ78" s="25">
        <f t="shared" si="45"/>
        <v>0</v>
      </c>
      <c r="AL78" s="173">
        <f>INDEX(Input!$C$62:$AM$74,MATCH($A78,Input!$A$62:$A$74,0),MATCH(AL$61,Input!$C$61:$AM$61,0))</f>
        <v>0</v>
      </c>
      <c r="AM78" s="31">
        <f>IF(VLOOKUP($A78,Input!$A$62:$B$74,2,FALSE)="Percentage",AN$70,IF(VLOOKUP($A78,Input!$A$62:$B$74,2,FALSE)="Fixed","Fixed",(AM$70)))</f>
        <v>6</v>
      </c>
      <c r="AN78" s="25">
        <f t="shared" si="46"/>
        <v>0</v>
      </c>
      <c r="AP78" s="173">
        <f>INDEX(Input!$C$62:$AM$74,MATCH($A78,Input!$A$62:$A$74,0),MATCH(AP$61,Input!$C$61:$AM$61,0))</f>
        <v>0</v>
      </c>
      <c r="AQ78" s="31">
        <f>IF(VLOOKUP($A78,Input!$A$62:$B$74,2,FALSE)="Percentage",AR$70,IF(VLOOKUP($A78,Input!$A$62:$B$74,2,FALSE)="Fixed","Fixed",(AQ$70)))</f>
        <v>6</v>
      </c>
      <c r="AR78" s="25">
        <f t="shared" si="47"/>
        <v>0</v>
      </c>
      <c r="AS78" s="30"/>
      <c r="AT78" s="173">
        <f>INDEX(Input!$C$62:$AM$74,MATCH($A78,Input!$A$62:$A$74,0),MATCH(AT$61,Input!$C$61:$AM$61,0))</f>
        <v>0</v>
      </c>
      <c r="AU78" s="31">
        <f>IF(VLOOKUP($A78,Input!$A$62:$B$74,2,FALSE)="Percentage",AV$70,IF(VLOOKUP($A78,Input!$A$62:$B$74,2,FALSE)="Fixed","Fixed",(AU$70)))</f>
        <v>6</v>
      </c>
      <c r="AV78" s="25">
        <f t="shared" si="48"/>
        <v>0</v>
      </c>
    </row>
    <row r="79" spans="1:48" x14ac:dyDescent="0.55000000000000004">
      <c r="A79">
        <f t="shared" si="36"/>
        <v>0</v>
      </c>
      <c r="B79" s="173">
        <f>INDEX(Input!$C$62:$AM$74,MATCH($A79,Input!$A$62:$A$74,0),MATCH(B$61,Input!$C$61:$AM$61,0))</f>
        <v>0</v>
      </c>
      <c r="C79" s="31">
        <f>IF(VLOOKUP($A79,Input!$A$62:$B$74,2,FALSE)="Percentage",D$70,IF(VLOOKUP($A79,Input!$A$62:$B$74,2,FALSE)="Fixed","Fixed",(C$70)))</f>
        <v>6</v>
      </c>
      <c r="D79" s="25">
        <f t="shared" si="37"/>
        <v>0</v>
      </c>
      <c r="F79" s="173">
        <f>INDEX(Input!$C$62:$AM$74,MATCH($A79,Input!$A$62:$A$74,0),MATCH(F$61,Input!$C$61:$AM$61,0))</f>
        <v>0</v>
      </c>
      <c r="G79" s="31">
        <f>IF(VLOOKUP($A79,Input!$A$62:$B$74,2,FALSE)="Percentage",H$70,IF(VLOOKUP($A79,Input!$A$62:$B$74,2,FALSE)="Fixed","Fixed",(G$70)))</f>
        <v>6</v>
      </c>
      <c r="H79" s="25">
        <f t="shared" si="38"/>
        <v>0</v>
      </c>
      <c r="J79" s="173">
        <f>INDEX(Input!$C$62:$AM$74,MATCH($A79,Input!$A$62:$A$74,0),MATCH(J$61,Input!$C$61:$AM$61,0))</f>
        <v>0</v>
      </c>
      <c r="K79" s="31">
        <f>IF(VLOOKUP($A79,Input!$A$62:$B$74,2,FALSE)="Percentage",L$70,IF(VLOOKUP($A79,Input!$A$62:$B$74,2,FALSE)="Fixed","Fixed",(K$70)))</f>
        <v>6</v>
      </c>
      <c r="L79" s="25">
        <f t="shared" si="39"/>
        <v>0</v>
      </c>
      <c r="N79" s="173">
        <f>INDEX(Input!$C$62:$AM$74,MATCH($A79,Input!$A$62:$A$74,0),MATCH(N$61,Input!$C$61:$AM$61,0))</f>
        <v>0</v>
      </c>
      <c r="O79" s="31">
        <f>IF(VLOOKUP($A79,Input!$A$62:$B$74,2,FALSE)="Percentage",P$70,IF(VLOOKUP($A79,Input!$A$62:$B$74,2,FALSE)="Fixed","Fixed",(O$70)))</f>
        <v>6</v>
      </c>
      <c r="P79" s="25">
        <f t="shared" si="40"/>
        <v>0</v>
      </c>
      <c r="R79" s="173">
        <f>INDEX(Input!$C$62:$AM$74,MATCH($A79,Input!$A$62:$A$74,0),MATCH(R$61,Input!$C$61:$AM$61,0))</f>
        <v>0</v>
      </c>
      <c r="S79" s="31">
        <f>IF(VLOOKUP($A79,Input!$A$62:$B$74,2,FALSE)="Percentage",T$70,IF(VLOOKUP($A79,Input!$A$62:$B$74,2,FALSE)="Fixed","Fixed",(S$70)))</f>
        <v>6</v>
      </c>
      <c r="T79" s="25">
        <f t="shared" si="41"/>
        <v>0</v>
      </c>
      <c r="V79" s="173">
        <f>INDEX(Input!$C$62:$AM$74,MATCH($A79,Input!$A$62:$A$74,0),MATCH(V$61,Input!$C$61:$AM$61,0))</f>
        <v>0</v>
      </c>
      <c r="W79" s="31">
        <f>IF(VLOOKUP($A79,Input!$A$62:$B$74,2,FALSE)="Percentage",X$70,IF(VLOOKUP($A79,Input!$A$62:$B$74,2,FALSE)="Fixed","Fixed",(W$70)))</f>
        <v>6</v>
      </c>
      <c r="X79" s="25">
        <f t="shared" si="42"/>
        <v>0</v>
      </c>
      <c r="Z79" s="173">
        <f>INDEX(Input!$C$62:$AM$74,MATCH($A79,Input!$A$62:$A$74,0),MATCH(Z$61,Input!$C$61:$AM$61,0))</f>
        <v>0</v>
      </c>
      <c r="AA79" s="31">
        <f>IF(VLOOKUP($A79,Input!$A$62:$B$74,2,FALSE)="Percentage",AB$70,IF(VLOOKUP($A79,Input!$A$62:$B$74,2,FALSE)="Fixed","Fixed",(AA$70)))</f>
        <v>6</v>
      </c>
      <c r="AB79" s="25">
        <f t="shared" si="43"/>
        <v>0</v>
      </c>
      <c r="AD79" s="173">
        <f>INDEX(Input!$C$62:$AM$74,MATCH($A79,Input!$A$62:$A$74,0),MATCH(AD$61,Input!$C$61:$AM$61,0))</f>
        <v>0</v>
      </c>
      <c r="AE79" s="31">
        <f>IF(VLOOKUP($A79,Input!$A$62:$B$74,2,FALSE)="Percentage",AF$70,IF(VLOOKUP($A79,Input!$A$62:$B$74,2,FALSE)="Fixed","Fixed",(AE$70)))</f>
        <v>6</v>
      </c>
      <c r="AF79" s="25">
        <f t="shared" si="44"/>
        <v>0</v>
      </c>
      <c r="AH79" s="173">
        <f>INDEX(Input!$C$62:$AM$74,MATCH($A79,Input!$A$62:$A$74,0),MATCH(AH$61,Input!$C$61:$AM$61,0))</f>
        <v>0</v>
      </c>
      <c r="AI79" s="31">
        <f>IF(VLOOKUP($A79,Input!$A$62:$B$74,2,FALSE)="Percentage",AJ$70,IF(VLOOKUP($A79,Input!$A$62:$B$74,2,FALSE)="Fixed","Fixed",(AI$70)))</f>
        <v>6</v>
      </c>
      <c r="AJ79" s="25">
        <f t="shared" si="45"/>
        <v>0</v>
      </c>
      <c r="AL79" s="173">
        <f>INDEX(Input!$C$62:$AM$74,MATCH($A79,Input!$A$62:$A$74,0),MATCH(AL$61,Input!$C$61:$AM$61,0))</f>
        <v>0</v>
      </c>
      <c r="AM79" s="31">
        <f>IF(VLOOKUP($A79,Input!$A$62:$B$74,2,FALSE)="Percentage",AN$70,IF(VLOOKUP($A79,Input!$A$62:$B$74,2,FALSE)="Fixed","Fixed",(AM$70)))</f>
        <v>6</v>
      </c>
      <c r="AN79" s="25">
        <f t="shared" si="46"/>
        <v>0</v>
      </c>
      <c r="AP79" s="173">
        <f>INDEX(Input!$C$62:$AM$74,MATCH($A79,Input!$A$62:$A$74,0),MATCH(AP$61,Input!$C$61:$AM$61,0))</f>
        <v>0</v>
      </c>
      <c r="AQ79" s="31">
        <f>IF(VLOOKUP($A79,Input!$A$62:$B$74,2,FALSE)="Percentage",AR$70,IF(VLOOKUP($A79,Input!$A$62:$B$74,2,FALSE)="Fixed","Fixed",(AQ$70)))</f>
        <v>6</v>
      </c>
      <c r="AR79" s="25">
        <f t="shared" si="47"/>
        <v>0</v>
      </c>
      <c r="AS79" s="30"/>
      <c r="AT79" s="173">
        <f>INDEX(Input!$C$62:$AM$74,MATCH($A79,Input!$A$62:$A$74,0),MATCH(AT$61,Input!$C$61:$AM$61,0))</f>
        <v>0</v>
      </c>
      <c r="AU79" s="31">
        <f>IF(VLOOKUP($A79,Input!$A$62:$B$74,2,FALSE)="Percentage",AV$70,IF(VLOOKUP($A79,Input!$A$62:$B$74,2,FALSE)="Fixed","Fixed",(AU$70)))</f>
        <v>6</v>
      </c>
      <c r="AV79" s="25">
        <f t="shared" si="48"/>
        <v>0</v>
      </c>
    </row>
    <row r="80" spans="1:48" x14ac:dyDescent="0.55000000000000004">
      <c r="A80">
        <f t="shared" si="36"/>
        <v>0</v>
      </c>
      <c r="B80" s="173">
        <f>INDEX(Input!$C$62:$AM$74,MATCH($A80,Input!$A$62:$A$74,0),MATCH(B$61,Input!$C$61:$AM$61,0))</f>
        <v>0</v>
      </c>
      <c r="C80" s="31">
        <f>IF(VLOOKUP($A80,Input!$A$62:$B$74,2,FALSE)="Percentage",D$70,IF(VLOOKUP($A80,Input!$A$62:$B$74,2,FALSE)="Fixed","Fixed",(C$70)))</f>
        <v>6</v>
      </c>
      <c r="D80" s="25">
        <f t="shared" si="37"/>
        <v>0</v>
      </c>
      <c r="F80" s="173">
        <f>INDEX(Input!$C$62:$AM$74,MATCH($A80,Input!$A$62:$A$74,0),MATCH(F$61,Input!$C$61:$AM$61,0))</f>
        <v>0</v>
      </c>
      <c r="G80" s="31">
        <f>IF(VLOOKUP($A80,Input!$A$62:$B$74,2,FALSE)="Percentage",H$70,IF(VLOOKUP($A80,Input!$A$62:$B$74,2,FALSE)="Fixed","Fixed",(G$70)))</f>
        <v>6</v>
      </c>
      <c r="H80" s="25">
        <f t="shared" si="38"/>
        <v>0</v>
      </c>
      <c r="J80" s="173">
        <f>INDEX(Input!$C$62:$AM$74,MATCH($A80,Input!$A$62:$A$74,0),MATCH(J$61,Input!$C$61:$AM$61,0))</f>
        <v>0</v>
      </c>
      <c r="K80" s="31">
        <f>IF(VLOOKUP($A80,Input!$A$62:$B$74,2,FALSE)="Percentage",L$70,IF(VLOOKUP($A80,Input!$A$62:$B$74,2,FALSE)="Fixed","Fixed",(K$70)))</f>
        <v>6</v>
      </c>
      <c r="L80" s="25">
        <f t="shared" si="39"/>
        <v>0</v>
      </c>
      <c r="N80" s="173">
        <f>INDEX(Input!$C$62:$AM$74,MATCH($A80,Input!$A$62:$A$74,0),MATCH(N$61,Input!$C$61:$AM$61,0))</f>
        <v>0</v>
      </c>
      <c r="O80" s="31">
        <f>IF(VLOOKUP($A80,Input!$A$62:$B$74,2,FALSE)="Percentage",P$70,IF(VLOOKUP($A80,Input!$A$62:$B$74,2,FALSE)="Fixed","Fixed",(O$70)))</f>
        <v>6</v>
      </c>
      <c r="P80" s="25">
        <f t="shared" si="40"/>
        <v>0</v>
      </c>
      <c r="R80" s="173">
        <f>INDEX(Input!$C$62:$AM$74,MATCH($A80,Input!$A$62:$A$74,0),MATCH(R$61,Input!$C$61:$AM$61,0))</f>
        <v>0</v>
      </c>
      <c r="S80" s="31">
        <f>IF(VLOOKUP($A80,Input!$A$62:$B$74,2,FALSE)="Percentage",T$70,IF(VLOOKUP($A80,Input!$A$62:$B$74,2,FALSE)="Fixed","Fixed",(S$70)))</f>
        <v>6</v>
      </c>
      <c r="T80" s="25">
        <f t="shared" si="41"/>
        <v>0</v>
      </c>
      <c r="V80" s="173">
        <f>INDEX(Input!$C$62:$AM$74,MATCH($A80,Input!$A$62:$A$74,0),MATCH(V$61,Input!$C$61:$AM$61,0))</f>
        <v>0</v>
      </c>
      <c r="W80" s="31">
        <f>IF(VLOOKUP($A80,Input!$A$62:$B$74,2,FALSE)="Percentage",X$70,IF(VLOOKUP($A80,Input!$A$62:$B$74,2,FALSE)="Fixed","Fixed",(W$70)))</f>
        <v>6</v>
      </c>
      <c r="X80" s="25">
        <f t="shared" si="42"/>
        <v>0</v>
      </c>
      <c r="Z80" s="173">
        <f>INDEX(Input!$C$62:$AM$74,MATCH($A80,Input!$A$62:$A$74,0),MATCH(Z$61,Input!$C$61:$AM$61,0))</f>
        <v>0</v>
      </c>
      <c r="AA80" s="31">
        <f>IF(VLOOKUP($A80,Input!$A$62:$B$74,2,FALSE)="Percentage",AB$70,IF(VLOOKUP($A80,Input!$A$62:$B$74,2,FALSE)="Fixed","Fixed",(AA$70)))</f>
        <v>6</v>
      </c>
      <c r="AB80" s="25">
        <f t="shared" si="43"/>
        <v>0</v>
      </c>
      <c r="AD80" s="173">
        <f>INDEX(Input!$C$62:$AM$74,MATCH($A80,Input!$A$62:$A$74,0),MATCH(AD$61,Input!$C$61:$AM$61,0))</f>
        <v>0</v>
      </c>
      <c r="AE80" s="31">
        <f>IF(VLOOKUP($A80,Input!$A$62:$B$74,2,FALSE)="Percentage",AF$70,IF(VLOOKUP($A80,Input!$A$62:$B$74,2,FALSE)="Fixed","Fixed",(AE$70)))</f>
        <v>6</v>
      </c>
      <c r="AF80" s="25">
        <f t="shared" si="44"/>
        <v>0</v>
      </c>
      <c r="AH80" s="173">
        <f>INDEX(Input!$C$62:$AM$74,MATCH($A80,Input!$A$62:$A$74,0),MATCH(AH$61,Input!$C$61:$AM$61,0))</f>
        <v>0</v>
      </c>
      <c r="AI80" s="31">
        <f>IF(VLOOKUP($A80,Input!$A$62:$B$74,2,FALSE)="Percentage",AJ$70,IF(VLOOKUP($A80,Input!$A$62:$B$74,2,FALSE)="Fixed","Fixed",(AI$70)))</f>
        <v>6</v>
      </c>
      <c r="AJ80" s="25">
        <f t="shared" si="45"/>
        <v>0</v>
      </c>
      <c r="AL80" s="173">
        <f>INDEX(Input!$C$62:$AM$74,MATCH($A80,Input!$A$62:$A$74,0),MATCH(AL$61,Input!$C$61:$AM$61,0))</f>
        <v>0</v>
      </c>
      <c r="AM80" s="31">
        <f>IF(VLOOKUP($A80,Input!$A$62:$B$74,2,FALSE)="Percentage",AN$70,IF(VLOOKUP($A80,Input!$A$62:$B$74,2,FALSE)="Fixed","Fixed",(AM$70)))</f>
        <v>6</v>
      </c>
      <c r="AN80" s="25">
        <f t="shared" si="46"/>
        <v>0</v>
      </c>
      <c r="AP80" s="173">
        <f>INDEX(Input!$C$62:$AM$74,MATCH($A80,Input!$A$62:$A$74,0),MATCH(AP$61,Input!$C$61:$AM$61,0))</f>
        <v>0</v>
      </c>
      <c r="AQ80" s="31">
        <f>IF(VLOOKUP($A80,Input!$A$62:$B$74,2,FALSE)="Percentage",AR$70,IF(VLOOKUP($A80,Input!$A$62:$B$74,2,FALSE)="Fixed","Fixed",(AQ$70)))</f>
        <v>6</v>
      </c>
      <c r="AR80" s="25">
        <f t="shared" si="47"/>
        <v>0</v>
      </c>
      <c r="AS80" s="30"/>
      <c r="AT80" s="173">
        <f>INDEX(Input!$C$62:$AM$74,MATCH($A80,Input!$A$62:$A$74,0),MATCH(AT$61,Input!$C$61:$AM$61,0))</f>
        <v>0</v>
      </c>
      <c r="AU80" s="31">
        <f>IF(VLOOKUP($A80,Input!$A$62:$B$74,2,FALSE)="Percentage",AV$70,IF(VLOOKUP($A80,Input!$A$62:$B$74,2,FALSE)="Fixed","Fixed",(AU$70)))</f>
        <v>6</v>
      </c>
      <c r="AV80" s="25">
        <f t="shared" si="48"/>
        <v>0</v>
      </c>
    </row>
    <row r="81" spans="1:48" x14ac:dyDescent="0.55000000000000004">
      <c r="A81">
        <f t="shared" si="36"/>
        <v>0</v>
      </c>
      <c r="B81" s="173">
        <f>INDEX(Input!$C$62:$AM$74,MATCH($A81,Input!$A$62:$A$74,0),MATCH(B$61,Input!$C$61:$AM$61,0))</f>
        <v>0</v>
      </c>
      <c r="C81" s="31">
        <f>IF(VLOOKUP($A81,Input!$A$62:$B$74,2,FALSE)="Percentage",D$70,IF(VLOOKUP($A81,Input!$A$62:$B$74,2,FALSE)="Fixed","Fixed",(C$70)))</f>
        <v>6</v>
      </c>
      <c r="D81" s="25">
        <f t="shared" si="37"/>
        <v>0</v>
      </c>
      <c r="F81" s="173">
        <f>INDEX(Input!$C$62:$AM$74,MATCH($A81,Input!$A$62:$A$74,0),MATCH(F$61,Input!$C$61:$AM$61,0))</f>
        <v>0</v>
      </c>
      <c r="G81" s="31">
        <f>IF(VLOOKUP($A81,Input!$A$62:$B$74,2,FALSE)="Percentage",H$70,IF(VLOOKUP($A81,Input!$A$62:$B$74,2,FALSE)="Fixed","Fixed",(G$70)))</f>
        <v>6</v>
      </c>
      <c r="H81" s="25">
        <f t="shared" si="38"/>
        <v>0</v>
      </c>
      <c r="J81" s="173">
        <f>INDEX(Input!$C$62:$AM$74,MATCH($A81,Input!$A$62:$A$74,0),MATCH(J$61,Input!$C$61:$AM$61,0))</f>
        <v>0</v>
      </c>
      <c r="K81" s="31">
        <f>IF(VLOOKUP($A81,Input!$A$62:$B$74,2,FALSE)="Percentage",L$70,IF(VLOOKUP($A81,Input!$A$62:$B$74,2,FALSE)="Fixed","Fixed",(K$70)))</f>
        <v>6</v>
      </c>
      <c r="L81" s="25">
        <f t="shared" si="39"/>
        <v>0</v>
      </c>
      <c r="N81" s="173">
        <f>INDEX(Input!$C$62:$AM$74,MATCH($A81,Input!$A$62:$A$74,0),MATCH(N$61,Input!$C$61:$AM$61,0))</f>
        <v>0</v>
      </c>
      <c r="O81" s="31">
        <f>IF(VLOOKUP($A81,Input!$A$62:$B$74,2,FALSE)="Percentage",P$70,IF(VLOOKUP($A81,Input!$A$62:$B$74,2,FALSE)="Fixed","Fixed",(O$70)))</f>
        <v>6</v>
      </c>
      <c r="P81" s="25">
        <f t="shared" si="40"/>
        <v>0</v>
      </c>
      <c r="R81" s="173">
        <f>INDEX(Input!$C$62:$AM$74,MATCH($A81,Input!$A$62:$A$74,0),MATCH(R$61,Input!$C$61:$AM$61,0))</f>
        <v>0</v>
      </c>
      <c r="S81" s="31">
        <f>IF(VLOOKUP($A81,Input!$A$62:$B$74,2,FALSE)="Percentage",T$70,IF(VLOOKUP($A81,Input!$A$62:$B$74,2,FALSE)="Fixed","Fixed",(S$70)))</f>
        <v>6</v>
      </c>
      <c r="T81" s="25">
        <f t="shared" si="41"/>
        <v>0</v>
      </c>
      <c r="V81" s="173">
        <f>INDEX(Input!$C$62:$AM$74,MATCH($A81,Input!$A$62:$A$74,0),MATCH(V$61,Input!$C$61:$AM$61,0))</f>
        <v>0</v>
      </c>
      <c r="W81" s="31">
        <f>IF(VLOOKUP($A81,Input!$A$62:$B$74,2,FALSE)="Percentage",X$70,IF(VLOOKUP($A81,Input!$A$62:$B$74,2,FALSE)="Fixed","Fixed",(W$70)))</f>
        <v>6</v>
      </c>
      <c r="X81" s="25">
        <f t="shared" si="42"/>
        <v>0</v>
      </c>
      <c r="Z81" s="173">
        <f>INDEX(Input!$C$62:$AM$74,MATCH($A81,Input!$A$62:$A$74,0),MATCH(Z$61,Input!$C$61:$AM$61,0))</f>
        <v>0</v>
      </c>
      <c r="AA81" s="31">
        <f>IF(VLOOKUP($A81,Input!$A$62:$B$74,2,FALSE)="Percentage",AB$70,IF(VLOOKUP($A81,Input!$A$62:$B$74,2,FALSE)="Fixed","Fixed",(AA$70)))</f>
        <v>6</v>
      </c>
      <c r="AB81" s="25">
        <f t="shared" si="43"/>
        <v>0</v>
      </c>
      <c r="AD81" s="173">
        <f>INDEX(Input!$C$62:$AM$74,MATCH($A81,Input!$A$62:$A$74,0),MATCH(AD$61,Input!$C$61:$AM$61,0))</f>
        <v>0</v>
      </c>
      <c r="AE81" s="31">
        <f>IF(VLOOKUP($A81,Input!$A$62:$B$74,2,FALSE)="Percentage",AF$70,IF(VLOOKUP($A81,Input!$A$62:$B$74,2,FALSE)="Fixed","Fixed",(AE$70)))</f>
        <v>6</v>
      </c>
      <c r="AF81" s="25">
        <f t="shared" si="44"/>
        <v>0</v>
      </c>
      <c r="AH81" s="173">
        <f>INDEX(Input!$C$62:$AM$74,MATCH($A81,Input!$A$62:$A$74,0),MATCH(AH$61,Input!$C$61:$AM$61,0))</f>
        <v>0</v>
      </c>
      <c r="AI81" s="31">
        <f>IF(VLOOKUP($A81,Input!$A$62:$B$74,2,FALSE)="Percentage",AJ$70,IF(VLOOKUP($A81,Input!$A$62:$B$74,2,FALSE)="Fixed","Fixed",(AI$70)))</f>
        <v>6</v>
      </c>
      <c r="AJ81" s="25">
        <f t="shared" si="45"/>
        <v>0</v>
      </c>
      <c r="AL81" s="173">
        <f>INDEX(Input!$C$62:$AM$74,MATCH($A81,Input!$A$62:$A$74,0),MATCH(AL$61,Input!$C$61:$AM$61,0))</f>
        <v>0</v>
      </c>
      <c r="AM81" s="31">
        <f>IF(VLOOKUP($A81,Input!$A$62:$B$74,2,FALSE)="Percentage",AN$70,IF(VLOOKUP($A81,Input!$A$62:$B$74,2,FALSE)="Fixed","Fixed",(AM$70)))</f>
        <v>6</v>
      </c>
      <c r="AN81" s="25">
        <f t="shared" si="46"/>
        <v>0</v>
      </c>
      <c r="AP81" s="173">
        <f>INDEX(Input!$C$62:$AM$74,MATCH($A81,Input!$A$62:$A$74,0),MATCH(AP$61,Input!$C$61:$AM$61,0))</f>
        <v>0</v>
      </c>
      <c r="AQ81" s="31">
        <f>IF(VLOOKUP($A81,Input!$A$62:$B$74,2,FALSE)="Percentage",AR$70,IF(VLOOKUP($A81,Input!$A$62:$B$74,2,FALSE)="Fixed","Fixed",(AQ$70)))</f>
        <v>6</v>
      </c>
      <c r="AR81" s="25">
        <f t="shared" si="47"/>
        <v>0</v>
      </c>
      <c r="AS81" s="30"/>
      <c r="AT81" s="173">
        <f>INDEX(Input!$C$62:$AM$74,MATCH($A81,Input!$A$62:$A$74,0),MATCH(AT$61,Input!$C$61:$AM$61,0))</f>
        <v>0</v>
      </c>
      <c r="AU81" s="31">
        <f>IF(VLOOKUP($A81,Input!$A$62:$B$74,2,FALSE)="Percentage",AV$70,IF(VLOOKUP($A81,Input!$A$62:$B$74,2,FALSE)="Fixed","Fixed",(AU$70)))</f>
        <v>6</v>
      </c>
      <c r="AV81" s="25">
        <f t="shared" si="48"/>
        <v>0</v>
      </c>
    </row>
    <row r="82" spans="1:48" x14ac:dyDescent="0.55000000000000004">
      <c r="A82">
        <f t="shared" si="36"/>
        <v>0</v>
      </c>
      <c r="B82" s="173">
        <f>INDEX(Input!$C$62:$AM$74,MATCH($A82,Input!$A$62:$A$74,0),MATCH(B$61,Input!$C$61:$AM$61,0))</f>
        <v>0</v>
      </c>
      <c r="C82" s="31">
        <f>IF(VLOOKUP($A82,Input!$A$62:$B$74,2,FALSE)="Percentage",D$70,IF(VLOOKUP($A82,Input!$A$62:$B$74,2,FALSE)="Fixed","Fixed",(C$70)))</f>
        <v>6</v>
      </c>
      <c r="D82" s="25">
        <f t="shared" si="37"/>
        <v>0</v>
      </c>
      <c r="F82" s="173">
        <f>INDEX(Input!$C$62:$AM$74,MATCH($A82,Input!$A$62:$A$74,0),MATCH(F$61,Input!$C$61:$AM$61,0))</f>
        <v>0</v>
      </c>
      <c r="G82" s="31">
        <f>IF(VLOOKUP($A82,Input!$A$62:$B$74,2,FALSE)="Percentage",H$70,IF(VLOOKUP($A82,Input!$A$62:$B$74,2,FALSE)="Fixed","Fixed",(G$70)))</f>
        <v>6</v>
      </c>
      <c r="H82" s="25">
        <f t="shared" si="38"/>
        <v>0</v>
      </c>
      <c r="J82" s="173">
        <f>INDEX(Input!$C$62:$AM$74,MATCH($A82,Input!$A$62:$A$74,0),MATCH(J$61,Input!$C$61:$AM$61,0))</f>
        <v>0</v>
      </c>
      <c r="K82" s="31">
        <f>IF(VLOOKUP($A82,Input!$A$62:$B$74,2,FALSE)="Percentage",L$70,IF(VLOOKUP($A82,Input!$A$62:$B$74,2,FALSE)="Fixed","Fixed",(K$70)))</f>
        <v>6</v>
      </c>
      <c r="L82" s="25">
        <f t="shared" si="39"/>
        <v>0</v>
      </c>
      <c r="N82" s="173">
        <f>INDEX(Input!$C$62:$AM$74,MATCH($A82,Input!$A$62:$A$74,0),MATCH(N$61,Input!$C$61:$AM$61,0))</f>
        <v>0</v>
      </c>
      <c r="O82" s="31">
        <f>IF(VLOOKUP($A82,Input!$A$62:$B$74,2,FALSE)="Percentage",P$70,IF(VLOOKUP($A82,Input!$A$62:$B$74,2,FALSE)="Fixed","Fixed",(O$70)))</f>
        <v>6</v>
      </c>
      <c r="P82" s="25">
        <f t="shared" si="40"/>
        <v>0</v>
      </c>
      <c r="R82" s="173">
        <f>INDEX(Input!$C$62:$AM$74,MATCH($A82,Input!$A$62:$A$74,0),MATCH(R$61,Input!$C$61:$AM$61,0))</f>
        <v>0</v>
      </c>
      <c r="S82" s="31">
        <f>IF(VLOOKUP($A82,Input!$A$62:$B$74,2,FALSE)="Percentage",T$70,IF(VLOOKUP($A82,Input!$A$62:$B$74,2,FALSE)="Fixed","Fixed",(S$70)))</f>
        <v>6</v>
      </c>
      <c r="T82" s="25">
        <f t="shared" si="41"/>
        <v>0</v>
      </c>
      <c r="V82" s="173">
        <f>INDEX(Input!$C$62:$AM$74,MATCH($A82,Input!$A$62:$A$74,0),MATCH(V$61,Input!$C$61:$AM$61,0))</f>
        <v>0</v>
      </c>
      <c r="W82" s="31">
        <f>IF(VLOOKUP($A82,Input!$A$62:$B$74,2,FALSE)="Percentage",X$70,IF(VLOOKUP($A82,Input!$A$62:$B$74,2,FALSE)="Fixed","Fixed",(W$70)))</f>
        <v>6</v>
      </c>
      <c r="X82" s="25">
        <f t="shared" si="42"/>
        <v>0</v>
      </c>
      <c r="Z82" s="173">
        <f>INDEX(Input!$C$62:$AM$74,MATCH($A82,Input!$A$62:$A$74,0),MATCH(Z$61,Input!$C$61:$AM$61,0))</f>
        <v>0</v>
      </c>
      <c r="AA82" s="31">
        <f>IF(VLOOKUP($A82,Input!$A$62:$B$74,2,FALSE)="Percentage",AB$70,IF(VLOOKUP($A82,Input!$A$62:$B$74,2,FALSE)="Fixed","Fixed",(AA$70)))</f>
        <v>6</v>
      </c>
      <c r="AB82" s="25">
        <f t="shared" si="43"/>
        <v>0</v>
      </c>
      <c r="AD82" s="173">
        <f>INDEX(Input!$C$62:$AM$74,MATCH($A82,Input!$A$62:$A$74,0),MATCH(AD$61,Input!$C$61:$AM$61,0))</f>
        <v>0</v>
      </c>
      <c r="AE82" s="31">
        <f>IF(VLOOKUP($A82,Input!$A$62:$B$74,2,FALSE)="Percentage",AF$70,IF(VLOOKUP($A82,Input!$A$62:$B$74,2,FALSE)="Fixed","Fixed",(AE$70)))</f>
        <v>6</v>
      </c>
      <c r="AF82" s="25">
        <f t="shared" si="44"/>
        <v>0</v>
      </c>
      <c r="AH82" s="173">
        <f>INDEX(Input!$C$62:$AM$74,MATCH($A82,Input!$A$62:$A$74,0),MATCH(AH$61,Input!$C$61:$AM$61,0))</f>
        <v>0</v>
      </c>
      <c r="AI82" s="31">
        <f>IF(VLOOKUP($A82,Input!$A$62:$B$74,2,FALSE)="Percentage",AJ$70,IF(VLOOKUP($A82,Input!$A$62:$B$74,2,FALSE)="Fixed","Fixed",(AI$70)))</f>
        <v>6</v>
      </c>
      <c r="AJ82" s="25">
        <f t="shared" si="45"/>
        <v>0</v>
      </c>
      <c r="AL82" s="173">
        <f>INDEX(Input!$C$62:$AM$74,MATCH($A82,Input!$A$62:$A$74,0),MATCH(AL$61,Input!$C$61:$AM$61,0))</f>
        <v>0</v>
      </c>
      <c r="AM82" s="31">
        <f>IF(VLOOKUP($A82,Input!$A$62:$B$74,2,FALSE)="Percentage",AN$70,IF(VLOOKUP($A82,Input!$A$62:$B$74,2,FALSE)="Fixed","Fixed",(AM$70)))</f>
        <v>6</v>
      </c>
      <c r="AN82" s="25">
        <f t="shared" si="46"/>
        <v>0</v>
      </c>
      <c r="AP82" s="173">
        <f>INDEX(Input!$C$62:$AM$74,MATCH($A82,Input!$A$62:$A$74,0),MATCH(AP$61,Input!$C$61:$AM$61,0))</f>
        <v>0</v>
      </c>
      <c r="AQ82" s="31">
        <f>IF(VLOOKUP($A82,Input!$A$62:$B$74,2,FALSE)="Percentage",AR$70,IF(VLOOKUP($A82,Input!$A$62:$B$74,2,FALSE)="Fixed","Fixed",(AQ$70)))</f>
        <v>6</v>
      </c>
      <c r="AR82" s="25">
        <f t="shared" si="47"/>
        <v>0</v>
      </c>
      <c r="AS82" s="30"/>
      <c r="AT82" s="173">
        <f>INDEX(Input!$C$62:$AM$74,MATCH($A82,Input!$A$62:$A$74,0),MATCH(AT$61,Input!$C$61:$AM$61,0))</f>
        <v>0</v>
      </c>
      <c r="AU82" s="31">
        <f>IF(VLOOKUP($A82,Input!$A$62:$B$74,2,FALSE)="Percentage",AV$70,IF(VLOOKUP($A82,Input!$A$62:$B$74,2,FALSE)="Fixed","Fixed",(AU$70)))</f>
        <v>6</v>
      </c>
      <c r="AV82" s="25">
        <f t="shared" si="48"/>
        <v>0</v>
      </c>
    </row>
    <row r="83" spans="1:48" x14ac:dyDescent="0.55000000000000004">
      <c r="A83">
        <f t="shared" si="36"/>
        <v>0</v>
      </c>
      <c r="B83" s="173">
        <f>INDEX(Input!$C$62:$AM$74,MATCH($A83,Input!$A$62:$A$74,0),MATCH(B$61,Input!$C$61:$AM$61,0))</f>
        <v>0</v>
      </c>
      <c r="C83" s="31">
        <f>IF(VLOOKUP($A83,Input!$A$62:$B$74,2,FALSE)="Percentage",D$70,IF(VLOOKUP($A83,Input!$A$62:$B$74,2,FALSE)="Fixed","Fixed",(C$70)))</f>
        <v>6</v>
      </c>
      <c r="D83" s="25">
        <f t="shared" si="37"/>
        <v>0</v>
      </c>
      <c r="F83" s="173">
        <f>INDEX(Input!$C$62:$AM$74,MATCH($A83,Input!$A$62:$A$74,0),MATCH(F$61,Input!$C$61:$AM$61,0))</f>
        <v>0</v>
      </c>
      <c r="G83" s="31">
        <f>IF(VLOOKUP($A83,Input!$A$62:$B$74,2,FALSE)="Percentage",H$70,IF(VLOOKUP($A83,Input!$A$62:$B$74,2,FALSE)="Fixed","Fixed",(G$70)))</f>
        <v>6</v>
      </c>
      <c r="H83" s="25">
        <f t="shared" si="38"/>
        <v>0</v>
      </c>
      <c r="J83" s="173">
        <f>INDEX(Input!$C$62:$AM$74,MATCH($A83,Input!$A$62:$A$74,0),MATCH(J$61,Input!$C$61:$AM$61,0))</f>
        <v>0</v>
      </c>
      <c r="K83" s="31">
        <f>IF(VLOOKUP($A83,Input!$A$62:$B$74,2,FALSE)="Percentage",L$70,IF(VLOOKUP($A83,Input!$A$62:$B$74,2,FALSE)="Fixed","Fixed",(K$70)))</f>
        <v>6</v>
      </c>
      <c r="L83" s="25">
        <f t="shared" si="39"/>
        <v>0</v>
      </c>
      <c r="N83" s="173">
        <f>INDEX(Input!$C$62:$AM$74,MATCH($A83,Input!$A$62:$A$74,0),MATCH(N$61,Input!$C$61:$AM$61,0))</f>
        <v>0</v>
      </c>
      <c r="O83" s="31">
        <f>IF(VLOOKUP($A83,Input!$A$62:$B$74,2,FALSE)="Percentage",P$70,IF(VLOOKUP($A83,Input!$A$62:$B$74,2,FALSE)="Fixed","Fixed",(O$70)))</f>
        <v>6</v>
      </c>
      <c r="P83" s="25">
        <f t="shared" si="40"/>
        <v>0</v>
      </c>
      <c r="R83" s="173">
        <f>INDEX(Input!$C$62:$AM$74,MATCH($A83,Input!$A$62:$A$74,0),MATCH(R$61,Input!$C$61:$AM$61,0))</f>
        <v>0</v>
      </c>
      <c r="S83" s="31">
        <f>IF(VLOOKUP($A83,Input!$A$62:$B$74,2,FALSE)="Percentage",T$70,IF(VLOOKUP($A83,Input!$A$62:$B$74,2,FALSE)="Fixed","Fixed",(S$70)))</f>
        <v>6</v>
      </c>
      <c r="T83" s="25">
        <f t="shared" si="41"/>
        <v>0</v>
      </c>
      <c r="V83" s="173">
        <f>INDEX(Input!$C$62:$AM$74,MATCH($A83,Input!$A$62:$A$74,0),MATCH(V$61,Input!$C$61:$AM$61,0))</f>
        <v>0</v>
      </c>
      <c r="W83" s="31">
        <f>IF(VLOOKUP($A83,Input!$A$62:$B$74,2,FALSE)="Percentage",X$70,IF(VLOOKUP($A83,Input!$A$62:$B$74,2,FALSE)="Fixed","Fixed",(W$70)))</f>
        <v>6</v>
      </c>
      <c r="X83" s="25">
        <f t="shared" si="42"/>
        <v>0</v>
      </c>
      <c r="Z83" s="173">
        <f>INDEX(Input!$C$62:$AM$74,MATCH($A83,Input!$A$62:$A$74,0),MATCH(Z$61,Input!$C$61:$AM$61,0))</f>
        <v>0</v>
      </c>
      <c r="AA83" s="31">
        <f>IF(VLOOKUP($A83,Input!$A$62:$B$74,2,FALSE)="Percentage",AB$70,IF(VLOOKUP($A83,Input!$A$62:$B$74,2,FALSE)="Fixed","Fixed",(AA$70)))</f>
        <v>6</v>
      </c>
      <c r="AB83" s="25">
        <f t="shared" si="43"/>
        <v>0</v>
      </c>
      <c r="AD83" s="173">
        <f>INDEX(Input!$C$62:$AM$74,MATCH($A83,Input!$A$62:$A$74,0),MATCH(AD$61,Input!$C$61:$AM$61,0))</f>
        <v>0</v>
      </c>
      <c r="AE83" s="31">
        <f>IF(VLOOKUP($A83,Input!$A$62:$B$74,2,FALSE)="Percentage",AF$70,IF(VLOOKUP($A83,Input!$A$62:$B$74,2,FALSE)="Fixed","Fixed",(AE$70)))</f>
        <v>6</v>
      </c>
      <c r="AF83" s="25">
        <f t="shared" si="44"/>
        <v>0</v>
      </c>
      <c r="AH83" s="173">
        <f>INDEX(Input!$C$62:$AM$74,MATCH($A83,Input!$A$62:$A$74,0),MATCH(AH$61,Input!$C$61:$AM$61,0))</f>
        <v>0</v>
      </c>
      <c r="AI83" s="31">
        <f>IF(VLOOKUP($A83,Input!$A$62:$B$74,2,FALSE)="Percentage",AJ$70,IF(VLOOKUP($A83,Input!$A$62:$B$74,2,FALSE)="Fixed","Fixed",(AI$70)))</f>
        <v>6</v>
      </c>
      <c r="AJ83" s="25">
        <f t="shared" si="45"/>
        <v>0</v>
      </c>
      <c r="AL83" s="173">
        <f>INDEX(Input!$C$62:$AM$74,MATCH($A83,Input!$A$62:$A$74,0),MATCH(AL$61,Input!$C$61:$AM$61,0))</f>
        <v>0</v>
      </c>
      <c r="AM83" s="31">
        <f>IF(VLOOKUP($A83,Input!$A$62:$B$74,2,FALSE)="Percentage",AN$70,IF(VLOOKUP($A83,Input!$A$62:$B$74,2,FALSE)="Fixed","Fixed",(AM$70)))</f>
        <v>6</v>
      </c>
      <c r="AN83" s="25">
        <f t="shared" si="46"/>
        <v>0</v>
      </c>
      <c r="AP83" s="173">
        <f>INDEX(Input!$C$62:$AM$74,MATCH($A83,Input!$A$62:$A$74,0),MATCH(AP$61,Input!$C$61:$AM$61,0))</f>
        <v>0</v>
      </c>
      <c r="AQ83" s="31">
        <f>IF(VLOOKUP($A83,Input!$A$62:$B$74,2,FALSE)="Percentage",AR$70,IF(VLOOKUP($A83,Input!$A$62:$B$74,2,FALSE)="Fixed","Fixed",(AQ$70)))</f>
        <v>6</v>
      </c>
      <c r="AR83" s="25">
        <f t="shared" si="47"/>
        <v>0</v>
      </c>
      <c r="AS83" s="30"/>
      <c r="AT83" s="173">
        <f>INDEX(Input!$C$62:$AM$74,MATCH($A83,Input!$A$62:$A$74,0),MATCH(AT$61,Input!$C$61:$AM$61,0))</f>
        <v>0</v>
      </c>
      <c r="AU83" s="31">
        <f>IF(VLOOKUP($A83,Input!$A$62:$B$74,2,FALSE)="Percentage",AV$70,IF(VLOOKUP($A83,Input!$A$62:$B$74,2,FALSE)="Fixed","Fixed",(AU$70)))</f>
        <v>6</v>
      </c>
      <c r="AV83" s="25">
        <f t="shared" si="48"/>
        <v>0</v>
      </c>
    </row>
    <row r="84" spans="1:48" x14ac:dyDescent="0.55000000000000004">
      <c r="A84">
        <f t="shared" si="36"/>
        <v>0</v>
      </c>
      <c r="B84" s="173">
        <f>INDEX(Input!$C$62:$AM$74,MATCH($A84,Input!$A$62:$A$74,0),MATCH(B$61,Input!$C$61:$AM$61,0))</f>
        <v>0</v>
      </c>
      <c r="C84" s="31">
        <f>IF(VLOOKUP($A84,Input!$A$62:$B$74,2,FALSE)="Percentage",D$70,IF(VLOOKUP($A84,Input!$A$62:$B$74,2,FALSE)="Fixed","Fixed",(C$70)))</f>
        <v>6</v>
      </c>
      <c r="D84" s="25">
        <f t="shared" si="37"/>
        <v>0</v>
      </c>
      <c r="F84" s="173">
        <f>INDEX(Input!$C$62:$AM$74,MATCH($A84,Input!$A$62:$A$74,0),MATCH(F$61,Input!$C$61:$AM$61,0))</f>
        <v>0</v>
      </c>
      <c r="G84" s="31">
        <f>IF(VLOOKUP($A84,Input!$A$62:$B$74,2,FALSE)="Percentage",H$70,IF(VLOOKUP($A84,Input!$A$62:$B$74,2,FALSE)="Fixed","Fixed",(G$70)))</f>
        <v>6</v>
      </c>
      <c r="H84" s="25">
        <f t="shared" si="38"/>
        <v>0</v>
      </c>
      <c r="J84" s="173">
        <f>INDEX(Input!$C$62:$AM$74,MATCH($A84,Input!$A$62:$A$74,0),MATCH(J$61,Input!$C$61:$AM$61,0))</f>
        <v>0</v>
      </c>
      <c r="K84" s="31">
        <f>IF(VLOOKUP($A84,Input!$A$62:$B$74,2,FALSE)="Percentage",L$70,IF(VLOOKUP($A84,Input!$A$62:$B$74,2,FALSE)="Fixed","Fixed",(K$70)))</f>
        <v>6</v>
      </c>
      <c r="L84" s="25">
        <f t="shared" si="39"/>
        <v>0</v>
      </c>
      <c r="N84" s="173">
        <f>INDEX(Input!$C$62:$AM$74,MATCH($A84,Input!$A$62:$A$74,0),MATCH(N$61,Input!$C$61:$AM$61,0))</f>
        <v>0</v>
      </c>
      <c r="O84" s="31">
        <f>IF(VLOOKUP($A84,Input!$A$62:$B$74,2,FALSE)="Percentage",P$70,IF(VLOOKUP($A84,Input!$A$62:$B$74,2,FALSE)="Fixed","Fixed",(O$70)))</f>
        <v>6</v>
      </c>
      <c r="P84" s="25">
        <f t="shared" si="40"/>
        <v>0</v>
      </c>
      <c r="R84" s="173">
        <f>INDEX(Input!$C$62:$AM$74,MATCH($A84,Input!$A$62:$A$74,0),MATCH(R$61,Input!$C$61:$AM$61,0))</f>
        <v>0</v>
      </c>
      <c r="S84" s="31">
        <f>IF(VLOOKUP($A84,Input!$A$62:$B$74,2,FALSE)="Percentage",T$70,IF(VLOOKUP($A84,Input!$A$62:$B$74,2,FALSE)="Fixed","Fixed",(S$70)))</f>
        <v>6</v>
      </c>
      <c r="T84" s="25">
        <f t="shared" si="41"/>
        <v>0</v>
      </c>
      <c r="V84" s="173">
        <f>INDEX(Input!$C$62:$AM$74,MATCH($A84,Input!$A$62:$A$74,0),MATCH(V$61,Input!$C$61:$AM$61,0))</f>
        <v>0</v>
      </c>
      <c r="W84" s="31">
        <f>IF(VLOOKUP($A84,Input!$A$62:$B$74,2,FALSE)="Percentage",X$70,IF(VLOOKUP($A84,Input!$A$62:$B$74,2,FALSE)="Fixed","Fixed",(W$70)))</f>
        <v>6</v>
      </c>
      <c r="X84" s="25">
        <f t="shared" si="42"/>
        <v>0</v>
      </c>
      <c r="Z84" s="173">
        <f>INDEX(Input!$C$62:$AM$74,MATCH($A84,Input!$A$62:$A$74,0),MATCH(Z$61,Input!$C$61:$AM$61,0))</f>
        <v>0</v>
      </c>
      <c r="AA84" s="31">
        <f>IF(VLOOKUP($A84,Input!$A$62:$B$74,2,FALSE)="Percentage",AB$70,IF(VLOOKUP($A84,Input!$A$62:$B$74,2,FALSE)="Fixed","Fixed",(AA$70)))</f>
        <v>6</v>
      </c>
      <c r="AB84" s="25">
        <f t="shared" si="43"/>
        <v>0</v>
      </c>
      <c r="AD84" s="173">
        <f>INDEX(Input!$C$62:$AM$74,MATCH($A84,Input!$A$62:$A$74,0),MATCH(AD$61,Input!$C$61:$AM$61,0))</f>
        <v>0</v>
      </c>
      <c r="AE84" s="31">
        <f>IF(VLOOKUP($A84,Input!$A$62:$B$74,2,FALSE)="Percentage",AF$70,IF(VLOOKUP($A84,Input!$A$62:$B$74,2,FALSE)="Fixed","Fixed",(AE$70)))</f>
        <v>6</v>
      </c>
      <c r="AF84" s="25">
        <f t="shared" si="44"/>
        <v>0</v>
      </c>
      <c r="AH84" s="173">
        <f>INDEX(Input!$C$62:$AM$74,MATCH($A84,Input!$A$62:$A$74,0),MATCH(AH$61,Input!$C$61:$AM$61,0))</f>
        <v>0</v>
      </c>
      <c r="AI84" s="31">
        <f>IF(VLOOKUP($A84,Input!$A$62:$B$74,2,FALSE)="Percentage",AJ$70,IF(VLOOKUP($A84,Input!$A$62:$B$74,2,FALSE)="Fixed","Fixed",(AI$70)))</f>
        <v>6</v>
      </c>
      <c r="AJ84" s="25">
        <f t="shared" si="45"/>
        <v>0</v>
      </c>
      <c r="AL84" s="173">
        <f>INDEX(Input!$C$62:$AM$74,MATCH($A84,Input!$A$62:$A$74,0),MATCH(AL$61,Input!$C$61:$AM$61,0))</f>
        <v>0</v>
      </c>
      <c r="AM84" s="31">
        <f>IF(VLOOKUP($A84,Input!$A$62:$B$74,2,FALSE)="Percentage",AN$70,IF(VLOOKUP($A84,Input!$A$62:$B$74,2,FALSE)="Fixed","Fixed",(AM$70)))</f>
        <v>6</v>
      </c>
      <c r="AN84" s="25">
        <f t="shared" si="46"/>
        <v>0</v>
      </c>
      <c r="AP84" s="173">
        <f>INDEX(Input!$C$62:$AM$74,MATCH($A84,Input!$A$62:$A$74,0),MATCH(AP$61,Input!$C$61:$AM$61,0))</f>
        <v>0</v>
      </c>
      <c r="AQ84" s="31">
        <f>IF(VLOOKUP($A84,Input!$A$62:$B$74,2,FALSE)="Percentage",AR$70,IF(VLOOKUP($A84,Input!$A$62:$B$74,2,FALSE)="Fixed","Fixed",(AQ$70)))</f>
        <v>6</v>
      </c>
      <c r="AR84" s="25">
        <f t="shared" si="47"/>
        <v>0</v>
      </c>
      <c r="AS84" s="30"/>
      <c r="AT84" s="173">
        <f>INDEX(Input!$C$62:$AM$74,MATCH($A84,Input!$A$62:$A$74,0),MATCH(AT$61,Input!$C$61:$AM$61,0))</f>
        <v>0</v>
      </c>
      <c r="AU84" s="31">
        <f>IF(VLOOKUP($A84,Input!$A$62:$B$74,2,FALSE)="Percentage",AV$70,IF(VLOOKUP($A84,Input!$A$62:$B$74,2,FALSE)="Fixed","Fixed",(AU$70)))</f>
        <v>6</v>
      </c>
      <c r="AV84" s="25">
        <f t="shared" si="48"/>
        <v>0</v>
      </c>
    </row>
    <row r="85" spans="1:48" x14ac:dyDescent="0.55000000000000004">
      <c r="A85">
        <f t="shared" si="36"/>
        <v>0</v>
      </c>
      <c r="B85" s="173">
        <f>INDEX(Input!$C$62:$AM$74,MATCH($A85,Input!$A$62:$A$74,0),MATCH(B$61,Input!$C$61:$AM$61,0))</f>
        <v>0</v>
      </c>
      <c r="C85" s="31">
        <f>IF(VLOOKUP($A85,Input!$A$62:$B$74,2,FALSE)="Percentage",D$70,IF(VLOOKUP($A85,Input!$A$62:$B$74,2,FALSE)="Fixed","Fixed",(C$70)))</f>
        <v>6</v>
      </c>
      <c r="D85" s="25">
        <f t="shared" si="37"/>
        <v>0</v>
      </c>
      <c r="F85" s="173">
        <f>INDEX(Input!$C$62:$AM$74,MATCH($A85,Input!$A$62:$A$74,0),MATCH(F$61,Input!$C$61:$AM$61,0))</f>
        <v>0</v>
      </c>
      <c r="G85" s="31">
        <f>IF(VLOOKUP($A85,Input!$A$62:$B$74,2,FALSE)="Percentage",H$70,IF(VLOOKUP($A85,Input!$A$62:$B$74,2,FALSE)="Fixed","Fixed",(G$70)))</f>
        <v>6</v>
      </c>
      <c r="H85" s="25">
        <f t="shared" si="38"/>
        <v>0</v>
      </c>
      <c r="J85" s="173">
        <f>INDEX(Input!$C$62:$AM$74,MATCH($A85,Input!$A$62:$A$74,0),MATCH(J$61,Input!$C$61:$AM$61,0))</f>
        <v>0</v>
      </c>
      <c r="K85" s="31">
        <f>IF(VLOOKUP($A85,Input!$A$62:$B$74,2,FALSE)="Percentage",L$70,IF(VLOOKUP($A85,Input!$A$62:$B$74,2,FALSE)="Fixed","Fixed",(K$70)))</f>
        <v>6</v>
      </c>
      <c r="L85" s="25">
        <f t="shared" si="39"/>
        <v>0</v>
      </c>
      <c r="N85" s="173">
        <f>INDEX(Input!$C$62:$AM$74,MATCH($A85,Input!$A$62:$A$74,0),MATCH(N$61,Input!$C$61:$AM$61,0))</f>
        <v>0</v>
      </c>
      <c r="O85" s="31">
        <f>IF(VLOOKUP($A85,Input!$A$62:$B$74,2,FALSE)="Percentage",P$70,IF(VLOOKUP($A85,Input!$A$62:$B$74,2,FALSE)="Fixed","Fixed",(O$70)))</f>
        <v>6</v>
      </c>
      <c r="P85" s="25">
        <f t="shared" si="40"/>
        <v>0</v>
      </c>
      <c r="R85" s="173">
        <f>INDEX(Input!$C$62:$AM$74,MATCH($A85,Input!$A$62:$A$74,0),MATCH(R$61,Input!$C$61:$AM$61,0))</f>
        <v>0</v>
      </c>
      <c r="S85" s="31">
        <f>IF(VLOOKUP($A85,Input!$A$62:$B$74,2,FALSE)="Percentage",T$70,IF(VLOOKUP($A85,Input!$A$62:$B$74,2,FALSE)="Fixed","Fixed",(S$70)))</f>
        <v>6</v>
      </c>
      <c r="T85" s="25">
        <f t="shared" si="41"/>
        <v>0</v>
      </c>
      <c r="V85" s="173">
        <f>INDEX(Input!$C$62:$AM$74,MATCH($A85,Input!$A$62:$A$74,0),MATCH(V$61,Input!$C$61:$AM$61,0))</f>
        <v>0</v>
      </c>
      <c r="W85" s="31">
        <f>IF(VLOOKUP($A85,Input!$A$62:$B$74,2,FALSE)="Percentage",X$70,IF(VLOOKUP($A85,Input!$A$62:$B$74,2,FALSE)="Fixed","Fixed",(W$70)))</f>
        <v>6</v>
      </c>
      <c r="X85" s="25">
        <f t="shared" si="42"/>
        <v>0</v>
      </c>
      <c r="Z85" s="173">
        <f>INDEX(Input!$C$62:$AM$74,MATCH($A85,Input!$A$62:$A$74,0),MATCH(Z$61,Input!$C$61:$AM$61,0))</f>
        <v>0</v>
      </c>
      <c r="AA85" s="31">
        <f>IF(VLOOKUP($A85,Input!$A$62:$B$74,2,FALSE)="Percentage",AB$70,IF(VLOOKUP($A85,Input!$A$62:$B$74,2,FALSE)="Fixed","Fixed",(AA$70)))</f>
        <v>6</v>
      </c>
      <c r="AB85" s="25">
        <f t="shared" si="43"/>
        <v>0</v>
      </c>
      <c r="AD85" s="173">
        <f>INDEX(Input!$C$62:$AM$74,MATCH($A85,Input!$A$62:$A$74,0),MATCH(AD$61,Input!$C$61:$AM$61,0))</f>
        <v>0</v>
      </c>
      <c r="AE85" s="31">
        <f>IF(VLOOKUP($A85,Input!$A$62:$B$74,2,FALSE)="Percentage",AF$70,IF(VLOOKUP($A85,Input!$A$62:$B$74,2,FALSE)="Fixed","Fixed",(AE$70)))</f>
        <v>6</v>
      </c>
      <c r="AF85" s="25">
        <f t="shared" si="44"/>
        <v>0</v>
      </c>
      <c r="AH85" s="173">
        <f>INDEX(Input!$C$62:$AM$74,MATCH($A85,Input!$A$62:$A$74,0),MATCH(AH$61,Input!$C$61:$AM$61,0))</f>
        <v>0</v>
      </c>
      <c r="AI85" s="31">
        <f>IF(VLOOKUP($A85,Input!$A$62:$B$74,2,FALSE)="Percentage",AJ$70,IF(VLOOKUP($A85,Input!$A$62:$B$74,2,FALSE)="Fixed","Fixed",(AI$70)))</f>
        <v>6</v>
      </c>
      <c r="AJ85" s="25">
        <f t="shared" si="45"/>
        <v>0</v>
      </c>
      <c r="AL85" s="173">
        <f>INDEX(Input!$C$62:$AM$74,MATCH($A85,Input!$A$62:$A$74,0),MATCH(AL$61,Input!$C$61:$AM$61,0))</f>
        <v>0</v>
      </c>
      <c r="AM85" s="31">
        <f>IF(VLOOKUP($A85,Input!$A$62:$B$74,2,FALSE)="Percentage",AN$70,IF(VLOOKUP($A85,Input!$A$62:$B$74,2,FALSE)="Fixed","Fixed",(AM$70)))</f>
        <v>6</v>
      </c>
      <c r="AN85" s="25">
        <f t="shared" si="46"/>
        <v>0</v>
      </c>
      <c r="AP85" s="173">
        <f>INDEX(Input!$C$62:$AM$74,MATCH($A85,Input!$A$62:$A$74,0),MATCH(AP$61,Input!$C$61:$AM$61,0))</f>
        <v>0</v>
      </c>
      <c r="AQ85" s="31">
        <f>IF(VLOOKUP($A85,Input!$A$62:$B$74,2,FALSE)="Percentage",AR$70,IF(VLOOKUP($A85,Input!$A$62:$B$74,2,FALSE)="Fixed","Fixed",(AQ$70)))</f>
        <v>6</v>
      </c>
      <c r="AR85" s="25">
        <f t="shared" si="47"/>
        <v>0</v>
      </c>
      <c r="AS85" s="30"/>
      <c r="AT85" s="173">
        <f>INDEX(Input!$C$62:$AM$74,MATCH($A85,Input!$A$62:$A$74,0),MATCH(AT$61,Input!$C$61:$AM$61,0))</f>
        <v>0</v>
      </c>
      <c r="AU85" s="31">
        <f>IF(VLOOKUP($A85,Input!$A$62:$B$74,2,FALSE)="Percentage",AV$70,IF(VLOOKUP($A85,Input!$A$62:$B$74,2,FALSE)="Fixed","Fixed",(AU$70)))</f>
        <v>6</v>
      </c>
      <c r="AV85" s="25">
        <f t="shared" si="48"/>
        <v>0</v>
      </c>
    </row>
    <row r="86" spans="1:48" x14ac:dyDescent="0.55000000000000004">
      <c r="A86" t="s">
        <v>39</v>
      </c>
      <c r="B86" s="16"/>
      <c r="C86" s="17"/>
      <c r="D86" s="26">
        <f>SUM(D73:D85)</f>
        <v>-10.29</v>
      </c>
      <c r="F86" s="16"/>
      <c r="G86" s="17"/>
      <c r="H86" s="26">
        <f>SUM(H73:H85)</f>
        <v>-10.29</v>
      </c>
      <c r="J86" s="16"/>
      <c r="K86" s="17"/>
      <c r="L86" s="26">
        <f>SUM(L73:L85)</f>
        <v>-10.29</v>
      </c>
      <c r="N86" s="16"/>
      <c r="O86" s="17"/>
      <c r="P86" s="26">
        <f>SUM(P73:P85)</f>
        <v>-10.29</v>
      </c>
      <c r="R86" s="16"/>
      <c r="S86" s="17"/>
      <c r="T86" s="26">
        <f>SUM(T73:T85)</f>
        <v>-10.29</v>
      </c>
      <c r="V86" s="16"/>
      <c r="W86" s="17"/>
      <c r="X86" s="26">
        <f>SUM(X73:X85)</f>
        <v>-10.29</v>
      </c>
      <c r="Z86" s="16"/>
      <c r="AA86" s="17"/>
      <c r="AB86" s="26">
        <f>SUM(AB73:AB85)</f>
        <v>-10.749999999999998</v>
      </c>
      <c r="AD86" s="16"/>
      <c r="AE86" s="17"/>
      <c r="AF86" s="26">
        <f>SUM(AF73:AF85)</f>
        <v>-10.749999999999998</v>
      </c>
      <c r="AH86" s="16"/>
      <c r="AI86" s="17"/>
      <c r="AJ86" s="26">
        <f>SUM(AJ73:AJ85)</f>
        <v>-10.749999999999998</v>
      </c>
      <c r="AL86" s="16"/>
      <c r="AM86" s="17"/>
      <c r="AN86" s="26">
        <f>SUM(AN73:AN85)</f>
        <v>-10.749999999999998</v>
      </c>
      <c r="AP86" s="16"/>
      <c r="AQ86" s="17"/>
      <c r="AR86" s="26">
        <f>SUM(AR73:AR85)</f>
        <v>-16.77</v>
      </c>
      <c r="AS86" s="64"/>
      <c r="AT86" s="16"/>
      <c r="AU86" s="17"/>
      <c r="AV86" s="26">
        <f>SUM(AV73:AV85)</f>
        <v>-11.12</v>
      </c>
    </row>
    <row r="87" spans="1:48" x14ac:dyDescent="0.55000000000000004">
      <c r="B87" s="16"/>
      <c r="C87" s="17"/>
      <c r="D87" s="19"/>
      <c r="F87" s="16"/>
      <c r="G87" s="17"/>
      <c r="H87" s="19"/>
      <c r="J87" s="16"/>
      <c r="K87" s="17"/>
      <c r="L87" s="19"/>
      <c r="N87" s="16"/>
      <c r="O87" s="17"/>
      <c r="P87" s="19"/>
      <c r="R87" s="16"/>
      <c r="S87" s="17"/>
      <c r="T87" s="19"/>
      <c r="V87" s="16"/>
      <c r="W87" s="17"/>
      <c r="X87" s="19"/>
      <c r="Z87" s="16"/>
      <c r="AA87" s="17"/>
      <c r="AB87" s="19"/>
      <c r="AD87" s="16"/>
      <c r="AE87" s="17"/>
      <c r="AF87" s="19"/>
      <c r="AH87" s="16"/>
      <c r="AI87" s="17"/>
      <c r="AJ87" s="19"/>
      <c r="AL87" s="16"/>
      <c r="AM87" s="17"/>
      <c r="AN87" s="19"/>
      <c r="AP87" s="16"/>
      <c r="AQ87" s="17"/>
      <c r="AR87" s="19"/>
      <c r="AS87" s="17"/>
      <c r="AT87" s="16"/>
      <c r="AU87" s="17"/>
      <c r="AV87" s="19"/>
    </row>
    <row r="88" spans="1:48" x14ac:dyDescent="0.55000000000000004">
      <c r="A88" s="1" t="s">
        <v>35</v>
      </c>
      <c r="B88" s="20" t="s">
        <v>29</v>
      </c>
      <c r="C88" s="21" t="s">
        <v>45</v>
      </c>
      <c r="D88" s="22" t="s">
        <v>30</v>
      </c>
      <c r="F88" s="20" t="s">
        <v>29</v>
      </c>
      <c r="G88" s="21" t="s">
        <v>45</v>
      </c>
      <c r="H88" s="111" t="s">
        <v>30</v>
      </c>
      <c r="J88" s="20" t="s">
        <v>29</v>
      </c>
      <c r="K88" s="21" t="s">
        <v>45</v>
      </c>
      <c r="L88" s="111" t="s">
        <v>30</v>
      </c>
      <c r="N88" s="20" t="s">
        <v>29</v>
      </c>
      <c r="O88" s="21" t="s">
        <v>45</v>
      </c>
      <c r="P88" s="111" t="s">
        <v>30</v>
      </c>
      <c r="R88" s="20" t="s">
        <v>29</v>
      </c>
      <c r="S88" s="21" t="s">
        <v>45</v>
      </c>
      <c r="T88" s="111" t="s">
        <v>30</v>
      </c>
      <c r="V88" s="20" t="s">
        <v>29</v>
      </c>
      <c r="W88" s="21" t="s">
        <v>45</v>
      </c>
      <c r="X88" s="111" t="s">
        <v>30</v>
      </c>
      <c r="Z88" s="20" t="s">
        <v>29</v>
      </c>
      <c r="AA88" s="21" t="s">
        <v>45</v>
      </c>
      <c r="AB88" s="111" t="s">
        <v>30</v>
      </c>
      <c r="AD88" s="20" t="s">
        <v>29</v>
      </c>
      <c r="AE88" s="21" t="s">
        <v>45</v>
      </c>
      <c r="AF88" s="111" t="s">
        <v>30</v>
      </c>
      <c r="AH88" s="20" t="s">
        <v>29</v>
      </c>
      <c r="AI88" s="21" t="s">
        <v>45</v>
      </c>
      <c r="AJ88" s="111" t="s">
        <v>30</v>
      </c>
      <c r="AL88" s="20" t="s">
        <v>29</v>
      </c>
      <c r="AM88" s="21" t="s">
        <v>45</v>
      </c>
      <c r="AN88" s="111" t="s">
        <v>30</v>
      </c>
      <c r="AP88" s="20" t="s">
        <v>29</v>
      </c>
      <c r="AQ88" s="21" t="s">
        <v>45</v>
      </c>
      <c r="AR88" s="111" t="s">
        <v>30</v>
      </c>
      <c r="AS88" s="170"/>
      <c r="AT88" s="20" t="s">
        <v>29</v>
      </c>
      <c r="AU88" s="21" t="s">
        <v>45</v>
      </c>
      <c r="AV88" s="111" t="s">
        <v>30</v>
      </c>
    </row>
    <row r="89" spans="1:48" x14ac:dyDescent="0.55000000000000004">
      <c r="A89" t="str">
        <f>A41</f>
        <v>CPUC Fee</v>
      </c>
      <c r="B89" s="29">
        <f>INDEX(Input!$C$77:$AL$82,MATCH('Residential Bills_Yr 1_avg'!$A$41,Input!$A$77:$A$82,0),MATCH('Residential Bills_Yr 1_avg'!B61:D61,Input!$C$76:$AL$76,0))</f>
        <v>1.43E-2</v>
      </c>
      <c r="C89" s="30">
        <f>D70+D86</f>
        <v>59.01</v>
      </c>
      <c r="D89" s="25">
        <f>ROUND(B89*C89,2)</f>
        <v>0.84</v>
      </c>
      <c r="F89" s="29">
        <f>INDEX(Input!$C$77:$AL$82,MATCH('Residential Bills_Yr 1_avg'!$A$41,Input!$A$77:$A$82,0),MATCH('Residential Bills_Yr 1_avg'!F61:H61,Input!$C$76:$AL$76,0))</f>
        <v>1.43E-2</v>
      </c>
      <c r="G89" s="30">
        <f>H70+H86</f>
        <v>59.01</v>
      </c>
      <c r="H89" s="25">
        <f>ROUND(F89*G89,2)</f>
        <v>0.84</v>
      </c>
      <c r="J89" s="29">
        <f>INDEX(Input!$C$77:$AL$82,MATCH('Residential Bills_Yr 1_avg'!$A$41,Input!$A$77:$A$82,0),MATCH('Residential Bills_Yr 1_avg'!J61:L61,Input!$C$76:$AL$76,0))</f>
        <v>1.43E-2</v>
      </c>
      <c r="K89" s="30">
        <f>L70+L86</f>
        <v>59.01</v>
      </c>
      <c r="L89" s="25">
        <f>ROUND(J89*K89,2)</f>
        <v>0.84</v>
      </c>
      <c r="N89" s="29">
        <f>INDEX(Input!$C$77:$AL$82,MATCH('Residential Bills_Yr 1_avg'!$A$41,Input!$A$77:$A$82,0),MATCH('Residential Bills_Yr 1_avg'!N61:P61,Input!$C$76:$AL$76,0))</f>
        <v>1.43E-2</v>
      </c>
      <c r="O89" s="30">
        <f>P70+P86</f>
        <v>59.01</v>
      </c>
      <c r="P89" s="25">
        <f>ROUND(N89*O89,2)</f>
        <v>0.84</v>
      </c>
      <c r="R89" s="29">
        <f>INDEX(Input!$C$77:$AL$82,MATCH('Residential Bills_Yr 1_avg'!$A$41,Input!$A$77:$A$82,0),MATCH('Residential Bills_Yr 1_avg'!R61:T61,Input!$C$76:$AL$76,0))</f>
        <v>1.43E-2</v>
      </c>
      <c r="S89" s="30">
        <f>T70+T86</f>
        <v>59.01</v>
      </c>
      <c r="T89" s="25">
        <f>ROUND(R89*S89,2)</f>
        <v>0.84</v>
      </c>
      <c r="V89" s="29">
        <f>INDEX(Input!$C$77:$AL$82,MATCH('Residential Bills_Yr 1_avg'!$A$41,Input!$A$77:$A$82,0),MATCH('Residential Bills_Yr 1_avg'!V61:X61,Input!$C$76:$AL$76,0))</f>
        <v>1.43E-2</v>
      </c>
      <c r="W89" s="30">
        <f>X70+X86</f>
        <v>59.01</v>
      </c>
      <c r="X89" s="25">
        <f>ROUND(V89*W89,2)</f>
        <v>0.84</v>
      </c>
      <c r="Z89" s="29">
        <f>INDEX(Input!$C$77:$AL$82,MATCH('Residential Bills_Yr 1_avg'!$A$41,Input!$A$77:$A$82,0),MATCH('Residential Bills_Yr 1_avg'!Z61:AB61,Input!$C$76:$AL$76,0))</f>
        <v>1.43E-2</v>
      </c>
      <c r="AA89" s="30">
        <f>AB70+AB86</f>
        <v>61.67</v>
      </c>
      <c r="AB89" s="25">
        <f>ROUND(Z89*AA89,2)</f>
        <v>0.88</v>
      </c>
      <c r="AD89" s="29">
        <f>INDEX(Input!$C$77:$AL$82,MATCH('Residential Bills_Yr 1_avg'!$A$41,Input!$A$77:$A$82,0),MATCH('Residential Bills_Yr 1_avg'!AD61:AF61,Input!$C$76:$AL$76,0))</f>
        <v>1.43E-2</v>
      </c>
      <c r="AE89" s="30">
        <f>AF70+AF86</f>
        <v>61.67</v>
      </c>
      <c r="AF89" s="25">
        <f>ROUND(AD89*AE89,2)</f>
        <v>0.88</v>
      </c>
      <c r="AH89" s="29">
        <f>INDEX(Input!$C$77:$AL$82,MATCH('Residential Bills_Yr 1_avg'!$A$41,Input!$A$77:$A$82,0),MATCH('Residential Bills_Yr 1_avg'!AH61:AJ61,Input!$C$76:$AL$76,0))</f>
        <v>1.43E-2</v>
      </c>
      <c r="AI89" s="30">
        <f>AJ70+AJ86</f>
        <v>61.67</v>
      </c>
      <c r="AJ89" s="25">
        <f>ROUND(AH89*AI89,2)</f>
        <v>0.88</v>
      </c>
      <c r="AL89" s="29">
        <f>INDEX(Input!$C$77:$AL$82,MATCH('Residential Bills_Yr 1_avg'!$A$41,Input!$A$77:$A$82,0),MATCH('Residential Bills_Yr 1_avg'!AL61:AN61,Input!$C$76:$AL$76,0))</f>
        <v>1.43E-2</v>
      </c>
      <c r="AM89" s="30">
        <f>AN70+AN86</f>
        <v>61.67</v>
      </c>
      <c r="AN89" s="25">
        <f>ROUND(AL89*AM89,2)</f>
        <v>0.88</v>
      </c>
      <c r="AP89" s="29">
        <f>INDEX(Input!$C$77:$AL$82,MATCH('Residential Bills_Yr 1_avg'!$A$41,Input!$A$77:$A$82,0),MATCH('Residential Bills_Yr 1_avg'!AP61:AR61,Input!$C$76:$AL$76,0))</f>
        <v>1.43E-2</v>
      </c>
      <c r="AQ89" s="30">
        <f>AR70+AR86</f>
        <v>58.11</v>
      </c>
      <c r="AR89" s="25">
        <f>ROUND(AP89*AQ89,2)</f>
        <v>0.83</v>
      </c>
      <c r="AS89" s="30"/>
      <c r="AT89" s="29">
        <f>INDEX(Input!$C$77:$AL$82,MATCH('Residential Bills_Yr 1_avg'!$A$41,Input!$A$77:$A$82,0),MATCH('Residential Bills_Yr 1_avg'!AT61:AV61,Input!$C$76:$AL$76,0))</f>
        <v>1.43E-2</v>
      </c>
      <c r="AU89" s="30">
        <f>AV70+AV86</f>
        <v>63.76</v>
      </c>
      <c r="AV89" s="25">
        <f>ROUND(AT89*AU89,2)</f>
        <v>0.91</v>
      </c>
    </row>
    <row r="90" spans="1:48" ht="14.5" customHeight="1" x14ac:dyDescent="0.55000000000000004">
      <c r="A90" t="str">
        <f>+A42</f>
        <v>CSJ UTT</v>
      </c>
      <c r="B90" s="29">
        <f>INDEX(Input!$C$77:$AL$82,MATCH('Residential Bills_Yr 1_avg'!$A$42,Input!$A$77:$A$82,0),MATCH('Residential Bills_Yr 1_avg'!B61,Input!$C$76:$AL$76,0))</f>
        <v>0.05</v>
      </c>
      <c r="C90" s="30">
        <f>D70+D86+D89</f>
        <v>59.85</v>
      </c>
      <c r="D90" s="25">
        <f>ROUND(B90*C90,2)</f>
        <v>2.99</v>
      </c>
      <c r="F90" s="29">
        <f>INDEX(Input!$C$77:$AL$82,MATCH('Residential Bills_Yr 1_avg'!$A$42,Input!$A$77:$A$82,0),MATCH('Residential Bills_Yr 1_avg'!F61,Input!$C$76:$AL$76,0))</f>
        <v>0.05</v>
      </c>
      <c r="G90" s="30">
        <f>H70+H86+H89</f>
        <v>59.85</v>
      </c>
      <c r="H90" s="25">
        <f>ROUND(F90*G90,2)</f>
        <v>2.99</v>
      </c>
      <c r="J90" s="29">
        <f>INDEX(Input!$C$77:$AL$82,MATCH('Residential Bills_Yr 1_avg'!$A$42,Input!$A$77:$A$82,0),MATCH('Residential Bills_Yr 1_avg'!J61,Input!$C$76:$AL$76,0))</f>
        <v>0.05</v>
      </c>
      <c r="K90" s="30">
        <f>L70+L86+L89</f>
        <v>59.85</v>
      </c>
      <c r="L90" s="25">
        <f>ROUND(J90*K90,2)</f>
        <v>2.99</v>
      </c>
      <c r="N90" s="29">
        <f>INDEX(Input!$C$77:$AL$82,MATCH('Residential Bills_Yr 1_avg'!$A$42,Input!$A$77:$A$82,0),MATCH('Residential Bills_Yr 1_avg'!N61,Input!$C$76:$AL$76,0))</f>
        <v>0.05</v>
      </c>
      <c r="O90" s="30">
        <f>P70+P86+P89</f>
        <v>59.85</v>
      </c>
      <c r="P90" s="25">
        <f>ROUND(N90*O90,2)</f>
        <v>2.99</v>
      </c>
      <c r="R90" s="29">
        <f>INDEX(Input!$C$77:$AL$82,MATCH('Residential Bills_Yr 1_avg'!$A$42,Input!$A$77:$A$82,0),MATCH('Residential Bills_Yr 1_avg'!R61,Input!$C$76:$AL$76,0))</f>
        <v>0.05</v>
      </c>
      <c r="S90" s="30">
        <f>T70+T86+T89</f>
        <v>59.85</v>
      </c>
      <c r="T90" s="25">
        <f>ROUND(R90*S90,2)</f>
        <v>2.99</v>
      </c>
      <c r="V90" s="29">
        <f>INDEX(Input!$C$77:$AL$82,MATCH('Residential Bills_Yr 1_avg'!$A$42,Input!$A$77:$A$82,0),MATCH('Residential Bills_Yr 1_avg'!V61,Input!$C$76:$AL$76,0))</f>
        <v>0.05</v>
      </c>
      <c r="W90" s="30">
        <f>X70+X86+X89</f>
        <v>59.85</v>
      </c>
      <c r="X90" s="25">
        <f>ROUND(V90*W90,2)</f>
        <v>2.99</v>
      </c>
      <c r="Z90" s="29">
        <f>INDEX(Input!$C$77:$AL$82,MATCH('Residential Bills_Yr 1_avg'!$A$42,Input!$A$77:$A$82,0),MATCH('Residential Bills_Yr 1_avg'!Z61,Input!$C$76:$AL$76,0))</f>
        <v>0.05</v>
      </c>
      <c r="AA90" s="30">
        <f>AB70+AB86+AB89</f>
        <v>62.550000000000004</v>
      </c>
      <c r="AB90" s="25">
        <f>ROUND(Z90*AA90,2)</f>
        <v>3.13</v>
      </c>
      <c r="AD90" s="29">
        <f>INDEX(Input!$C$77:$AL$82,MATCH('Residential Bills_Yr 1_avg'!$A$42,Input!$A$77:$A$82,0),MATCH('Residential Bills_Yr 1_avg'!AD61,Input!$C$76:$AL$76,0))</f>
        <v>0.05</v>
      </c>
      <c r="AE90" s="30">
        <f>AF70+AF86+AF89</f>
        <v>62.550000000000004</v>
      </c>
      <c r="AF90" s="25">
        <f>ROUND(AD90*AE90,2)</f>
        <v>3.13</v>
      </c>
      <c r="AH90" s="29">
        <f>INDEX(Input!$C$77:$AL$82,MATCH('Residential Bills_Yr 1_avg'!$A$42,Input!$A$77:$A$82,0),MATCH('Residential Bills_Yr 1_avg'!AH61,Input!$C$76:$AL$76,0))</f>
        <v>0.05</v>
      </c>
      <c r="AI90" s="30">
        <f>AJ70+AJ86+AJ89</f>
        <v>62.550000000000004</v>
      </c>
      <c r="AJ90" s="25">
        <f>ROUND(AH90*AI90,2)</f>
        <v>3.13</v>
      </c>
      <c r="AL90" s="29">
        <f>INDEX(Input!$C$77:$AL$82,MATCH('Residential Bills_Yr 1_avg'!$A$42,Input!$A$77:$A$82,0),MATCH('Residential Bills_Yr 1_avg'!AL61,Input!$C$76:$AL$76,0))</f>
        <v>0.05</v>
      </c>
      <c r="AM90" s="30">
        <f>AN70+AN86+AN89</f>
        <v>62.550000000000004</v>
      </c>
      <c r="AN90" s="25">
        <f>ROUND(AL90*AM90,2)</f>
        <v>3.13</v>
      </c>
      <c r="AP90" s="29">
        <f>INDEX(Input!$C$77:$AL$82,MATCH('Residential Bills_Yr 1_avg'!$A$42,Input!$A$77:$A$82,0),MATCH('Residential Bills_Yr 1_avg'!AP61,Input!$C$76:$AL$76,0))</f>
        <v>0.05</v>
      </c>
      <c r="AQ90" s="30">
        <f>AR70+AR86+AR89</f>
        <v>58.94</v>
      </c>
      <c r="AR90" s="25">
        <f>ROUND(AP90*AQ90,2)</f>
        <v>2.95</v>
      </c>
      <c r="AS90" s="17"/>
      <c r="AT90" s="29">
        <f>INDEX(Input!$C$77:$AL$82,MATCH('Residential Bills_Yr 1_avg'!$A$42,Input!$A$77:$A$82,0),MATCH('Residential Bills_Yr 1_avg'!AT61,Input!$C$76:$AL$76,0))</f>
        <v>0.05</v>
      </c>
      <c r="AU90" s="30">
        <f>AV70+AV86+AV89</f>
        <v>64.67</v>
      </c>
      <c r="AV90" s="25">
        <f>ROUND(AT90*AU90,2)</f>
        <v>3.23</v>
      </c>
    </row>
    <row r="91" spans="1:48" ht="14.5" customHeight="1" x14ac:dyDescent="0.55000000000000004">
      <c r="A91">
        <f>+Input!A123</f>
        <v>0</v>
      </c>
      <c r="B91" s="29"/>
      <c r="C91" s="17"/>
      <c r="D91" s="19"/>
      <c r="F91" s="29"/>
      <c r="G91" s="17"/>
      <c r="H91" s="19"/>
      <c r="J91" s="29"/>
      <c r="K91" s="17"/>
      <c r="L91" s="19"/>
      <c r="N91" s="29"/>
      <c r="O91" s="17"/>
      <c r="P91" s="19"/>
      <c r="R91" s="29"/>
      <c r="S91" s="17"/>
      <c r="T91" s="19"/>
      <c r="V91" s="29"/>
      <c r="W91" s="17"/>
      <c r="X91" s="19"/>
      <c r="Z91" s="29"/>
      <c r="AA91" s="17"/>
      <c r="AB91" s="19"/>
      <c r="AD91" s="29"/>
      <c r="AE91" s="17"/>
      <c r="AF91" s="19"/>
      <c r="AH91" s="29"/>
      <c r="AI91" s="17"/>
      <c r="AJ91" s="19"/>
      <c r="AL91" s="29"/>
      <c r="AM91" s="17"/>
      <c r="AN91" s="19"/>
      <c r="AP91" s="29"/>
      <c r="AQ91" s="17"/>
      <c r="AR91" s="19"/>
      <c r="AS91" s="17"/>
      <c r="AT91" s="29"/>
      <c r="AU91" s="17"/>
      <c r="AV91" s="19"/>
    </row>
    <row r="92" spans="1:48" ht="14.5" customHeight="1" x14ac:dyDescent="0.55000000000000004">
      <c r="A92">
        <f>+Input!A124</f>
        <v>0</v>
      </c>
      <c r="B92" s="29"/>
      <c r="C92" s="17"/>
      <c r="D92" s="19"/>
      <c r="F92" s="29"/>
      <c r="G92" s="17"/>
      <c r="H92" s="19"/>
      <c r="J92" s="29"/>
      <c r="K92" s="17"/>
      <c r="L92" s="19"/>
      <c r="N92" s="29"/>
      <c r="O92" s="17"/>
      <c r="P92" s="19"/>
      <c r="R92" s="29"/>
      <c r="S92" s="17"/>
      <c r="T92" s="19"/>
      <c r="V92" s="29"/>
      <c r="W92" s="17"/>
      <c r="X92" s="19"/>
      <c r="Z92" s="29"/>
      <c r="AA92" s="17"/>
      <c r="AB92" s="19"/>
      <c r="AD92" s="29"/>
      <c r="AE92" s="17"/>
      <c r="AF92" s="19"/>
      <c r="AH92" s="29"/>
      <c r="AI92" s="17"/>
      <c r="AJ92" s="19"/>
      <c r="AL92" s="29"/>
      <c r="AM92" s="17"/>
      <c r="AN92" s="19"/>
      <c r="AP92" s="29"/>
      <c r="AQ92" s="17"/>
      <c r="AR92" s="19"/>
      <c r="AS92" s="17"/>
      <c r="AT92" s="29"/>
      <c r="AU92" s="17"/>
      <c r="AV92" s="19"/>
    </row>
    <row r="93" spans="1:48" ht="14.5" customHeight="1" x14ac:dyDescent="0.55000000000000004">
      <c r="A93">
        <f>+Input!A125</f>
        <v>0</v>
      </c>
      <c r="B93" s="29"/>
      <c r="C93" s="17"/>
      <c r="D93" s="19"/>
      <c r="F93" s="29"/>
      <c r="G93" s="17"/>
      <c r="H93" s="19"/>
      <c r="J93" s="29"/>
      <c r="K93" s="17"/>
      <c r="L93" s="19"/>
      <c r="N93" s="29"/>
      <c r="O93" s="17"/>
      <c r="P93" s="19"/>
      <c r="R93" s="29"/>
      <c r="S93" s="17"/>
      <c r="T93" s="19"/>
      <c r="V93" s="29"/>
      <c r="W93" s="17"/>
      <c r="X93" s="19"/>
      <c r="Z93" s="29"/>
      <c r="AA93" s="17"/>
      <c r="AB93" s="19"/>
      <c r="AD93" s="29"/>
      <c r="AE93" s="17"/>
      <c r="AF93" s="19"/>
      <c r="AH93" s="29"/>
      <c r="AI93" s="17"/>
      <c r="AJ93" s="19"/>
      <c r="AL93" s="29"/>
      <c r="AM93" s="17"/>
      <c r="AN93" s="19"/>
      <c r="AP93" s="29"/>
      <c r="AQ93" s="17"/>
      <c r="AR93" s="19"/>
      <c r="AS93" s="17"/>
      <c r="AT93" s="29"/>
      <c r="AU93" s="17"/>
      <c r="AV93" s="19"/>
    </row>
    <row r="94" spans="1:48" ht="14.5" customHeight="1" x14ac:dyDescent="0.55000000000000004">
      <c r="A94">
        <f>+Input!A126</f>
        <v>0</v>
      </c>
      <c r="B94" s="29"/>
      <c r="C94" s="17"/>
      <c r="D94" s="19"/>
      <c r="F94" s="29"/>
      <c r="G94" s="17"/>
      <c r="H94" s="19"/>
      <c r="J94" s="29"/>
      <c r="K94" s="17"/>
      <c r="L94" s="19"/>
      <c r="N94" s="29"/>
      <c r="O94" s="17"/>
      <c r="P94" s="19"/>
      <c r="R94" s="29"/>
      <c r="S94" s="17"/>
      <c r="T94" s="19"/>
      <c r="V94" s="29"/>
      <c r="W94" s="17"/>
      <c r="X94" s="19"/>
      <c r="Z94" s="29"/>
      <c r="AA94" s="17"/>
      <c r="AB94" s="19"/>
      <c r="AD94" s="29"/>
      <c r="AE94" s="17"/>
      <c r="AF94" s="19"/>
      <c r="AH94" s="29"/>
      <c r="AI94" s="17"/>
      <c r="AJ94" s="19"/>
      <c r="AL94" s="29"/>
      <c r="AM94" s="17"/>
      <c r="AN94" s="19"/>
      <c r="AP94" s="29"/>
      <c r="AQ94" s="17"/>
      <c r="AR94" s="19"/>
      <c r="AS94" s="17"/>
      <c r="AT94" s="29"/>
      <c r="AU94" s="17"/>
      <c r="AV94" s="19"/>
    </row>
    <row r="95" spans="1:48" x14ac:dyDescent="0.55000000000000004">
      <c r="A95" t="s">
        <v>39</v>
      </c>
      <c r="B95" s="16"/>
      <c r="C95" s="17"/>
      <c r="D95" s="26">
        <f>SUM(D89:D94)</f>
        <v>3.83</v>
      </c>
      <c r="F95" s="16"/>
      <c r="G95" s="17"/>
      <c r="H95" s="26">
        <f>SUM(H89:H94)</f>
        <v>3.83</v>
      </c>
      <c r="J95" s="16"/>
      <c r="K95" s="17"/>
      <c r="L95" s="26">
        <f>SUM(L89:L94)</f>
        <v>3.83</v>
      </c>
      <c r="N95" s="16"/>
      <c r="O95" s="17"/>
      <c r="P95" s="26">
        <f>SUM(P89:P94)</f>
        <v>3.83</v>
      </c>
      <c r="R95" s="16"/>
      <c r="S95" s="17"/>
      <c r="T95" s="26">
        <f>SUM(T89:T94)</f>
        <v>3.83</v>
      </c>
      <c r="V95" s="16"/>
      <c r="W95" s="17"/>
      <c r="X95" s="26">
        <f>SUM(X89:X94)</f>
        <v>3.83</v>
      </c>
      <c r="Z95" s="16"/>
      <c r="AA95" s="17"/>
      <c r="AB95" s="26">
        <f>SUM(AB89:AB94)</f>
        <v>4.01</v>
      </c>
      <c r="AD95" s="16"/>
      <c r="AE95" s="17"/>
      <c r="AF95" s="26">
        <f>SUM(AF89:AF94)</f>
        <v>4.01</v>
      </c>
      <c r="AH95" s="16"/>
      <c r="AI95" s="17"/>
      <c r="AJ95" s="26">
        <f>SUM(AJ89:AJ94)</f>
        <v>4.01</v>
      </c>
      <c r="AL95" s="16"/>
      <c r="AM95" s="17"/>
      <c r="AN95" s="26">
        <f>SUM(AN89:AN94)</f>
        <v>4.01</v>
      </c>
      <c r="AP95" s="16"/>
      <c r="AQ95" s="17"/>
      <c r="AR95" s="26">
        <f>SUM(AR89:AR94)</f>
        <v>3.7800000000000002</v>
      </c>
      <c r="AS95" s="17"/>
      <c r="AT95" s="16"/>
      <c r="AU95" s="17"/>
      <c r="AV95" s="26">
        <f>SUM(AV89:AV94)</f>
        <v>4.1399999999999997</v>
      </c>
    </row>
    <row r="96" spans="1:48" x14ac:dyDescent="0.55000000000000004">
      <c r="B96" s="16"/>
      <c r="C96" s="17"/>
      <c r="D96" s="19"/>
      <c r="F96" s="16"/>
      <c r="G96" s="17"/>
      <c r="H96" s="19"/>
      <c r="J96" s="16"/>
      <c r="K96" s="17"/>
      <c r="L96" s="19"/>
      <c r="N96" s="16"/>
      <c r="O96" s="17"/>
      <c r="P96" s="19"/>
      <c r="R96" s="16"/>
      <c r="S96" s="17"/>
      <c r="T96" s="19"/>
      <c r="V96" s="16"/>
      <c r="W96" s="17"/>
      <c r="X96" s="19"/>
      <c r="Z96" s="16"/>
      <c r="AA96" s="17"/>
      <c r="AB96" s="19"/>
      <c r="AD96" s="16"/>
      <c r="AE96" s="17"/>
      <c r="AF96" s="19"/>
      <c r="AH96" s="16"/>
      <c r="AI96" s="17"/>
      <c r="AJ96" s="19"/>
      <c r="AL96" s="16"/>
      <c r="AM96" s="17"/>
      <c r="AN96" s="19"/>
      <c r="AP96" s="16"/>
      <c r="AQ96" s="17"/>
      <c r="AR96" s="19"/>
      <c r="AS96" s="17"/>
      <c r="AT96" s="16"/>
      <c r="AU96" s="17"/>
      <c r="AV96" s="19"/>
    </row>
    <row r="97" spans="1:48" ht="14.7" thickBot="1" x14ac:dyDescent="0.6">
      <c r="A97" t="s">
        <v>40</v>
      </c>
      <c r="B97" s="27"/>
      <c r="C97" s="28"/>
      <c r="D97" s="32">
        <f>D70+D86+D95</f>
        <v>62.839999999999996</v>
      </c>
      <c r="F97" s="27"/>
      <c r="G97" s="28"/>
      <c r="H97" s="32">
        <f>H70+H86+H95</f>
        <v>62.839999999999996</v>
      </c>
      <c r="J97" s="27"/>
      <c r="K97" s="28"/>
      <c r="L97" s="32">
        <f>L70+L86+L95</f>
        <v>62.839999999999996</v>
      </c>
      <c r="N97" s="27"/>
      <c r="O97" s="28"/>
      <c r="P97" s="32">
        <f>P70+P86+P95</f>
        <v>62.839999999999996</v>
      </c>
      <c r="R97" s="27"/>
      <c r="S97" s="28"/>
      <c r="T97" s="32">
        <f>T70+T86+T95</f>
        <v>62.839999999999996</v>
      </c>
      <c r="V97" s="27"/>
      <c r="W97" s="28"/>
      <c r="X97" s="32">
        <f>X70+X86+X95</f>
        <v>62.839999999999996</v>
      </c>
      <c r="Z97" s="27"/>
      <c r="AA97" s="28"/>
      <c r="AB97" s="32">
        <f>AB70+AB86+AB95</f>
        <v>65.680000000000007</v>
      </c>
      <c r="AD97" s="27"/>
      <c r="AE97" s="28"/>
      <c r="AF97" s="32">
        <f>AF70+AF86+AF95</f>
        <v>65.680000000000007</v>
      </c>
      <c r="AH97" s="27"/>
      <c r="AI97" s="28"/>
      <c r="AJ97" s="32">
        <f>AJ70+AJ86+AJ95</f>
        <v>65.680000000000007</v>
      </c>
      <c r="AL97" s="27"/>
      <c r="AM97" s="28"/>
      <c r="AN97" s="32">
        <f>AN70+AN86+AN95</f>
        <v>65.680000000000007</v>
      </c>
      <c r="AP97" s="27"/>
      <c r="AQ97" s="28"/>
      <c r="AR97" s="32">
        <f>AR70+AR86+AR95</f>
        <v>61.89</v>
      </c>
      <c r="AS97" s="176"/>
      <c r="AT97" s="27"/>
      <c r="AU97" s="28"/>
      <c r="AV97" s="32">
        <f>AV70+AV86+AV95</f>
        <v>67.899999999999991</v>
      </c>
    </row>
    <row r="99" spans="1:48" x14ac:dyDescent="0.55000000000000004">
      <c r="A99" t="s">
        <v>81</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4A8199C5-4510-4810-A666-5A465FBEEA9F}">
            <xm:f>OR(Input!$B62="Fixed",Input!$B62="Volumetric")</xm:f>
            <x14:dxf>
              <numFmt numFmtId="171" formatCode="&quot;$&quot;#,##0.000"/>
            </x14:dxf>
          </x14:cfRule>
          <x14:cfRule type="expression" priority="6" id="{80E5255C-28E5-418E-94F3-C76657D17D04}">
            <xm:f>Input!$B62="Percentage"</xm:f>
            <x14:dxf>
              <numFmt numFmtId="166" formatCode="0.000%"/>
            </x14:dxf>
          </x14:cfRule>
          <xm:sqref>AT73:AT85 B73:B85 F73:F85 J73:J85 N73:N85 R73:R85 V73:V85 Z73:Z85 AD73:AD85 AH73:AH85 AL73:AL85 AP73:AP85</xm:sqref>
        </x14:conditionalFormatting>
        <x14:conditionalFormatting xmlns:xm="http://schemas.microsoft.com/office/excel/2006/main">
          <x14:cfRule type="expression" priority="3" id="{14E0D3FA-8AAE-4257-AAFB-0AC6314BFB31}">
            <xm:f>OR(Input!$B46="Fixed",Input!$B46="Volumetric")</xm:f>
            <x14:dxf>
              <numFmt numFmtId="171" formatCode="&quot;$&quot;#,##0.000"/>
            </x14:dxf>
          </x14:cfRule>
          <x14:cfRule type="expression" priority="4" id="{90B25CB0-FFE3-44D7-90A7-9BF95F04D720}">
            <xm:f>Input!$B46="Percentage"</xm:f>
            <x14:dxf>
              <numFmt numFmtId="166" formatCode="0.000%"/>
            </x14:dxf>
          </x14:cfRule>
          <xm:sqref>B25:B37 F25:F37 J25:J37 N25:N37 R25:R37 V25:V37 Z25:Z37 AD25:AD37 AH25:AH37 AL25:AL37 AP25:AP37 AT25:AT37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Input!$A$86:$A$92</xm:f>
          </x14:formula1>
          <xm:sqref>B60 B11:B12</xm:sqref>
        </x14:dataValidation>
        <x14:dataValidation type="list" allowBlank="1" showInputMessage="1" showErrorMessage="1">
          <x14:formula1>
            <xm:f>Input!$A$28:$A$42</xm:f>
          </x14:formula1>
          <xm:sqref>B6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V99"/>
  <sheetViews>
    <sheetView zoomScale="115" zoomScaleNormal="115" workbookViewId="0">
      <pane xSplit="1" topLeftCell="B1" activePane="topRight" state="frozen"/>
      <selection activeCell="A72" activeCellId="1" sqref="L76 A72:XFD72"/>
      <selection pane="topRight" activeCell="B57" sqref="B57"/>
    </sheetView>
  </sheetViews>
  <sheetFormatPr defaultRowHeight="14.4" x14ac:dyDescent="0.55000000000000004"/>
  <cols>
    <col min="1" max="1" width="30.41796875" customWidth="1"/>
    <col min="2" max="2" width="11.15625" customWidth="1"/>
    <col min="3" max="3" width="14.83984375" bestFit="1" customWidth="1"/>
    <col min="4" max="4" width="10.15625" bestFit="1" customWidth="1"/>
    <col min="5" max="5" width="0.83984375" customWidth="1"/>
    <col min="6" max="6" width="10" bestFit="1" customWidth="1"/>
    <col min="7" max="7" width="13.83984375" bestFit="1" customWidth="1"/>
    <col min="8" max="8" width="10.15625" bestFit="1" customWidth="1"/>
    <col min="9" max="9" width="0.83984375" customWidth="1"/>
    <col min="11" max="11" width="13.83984375" bestFit="1" customWidth="1"/>
    <col min="13" max="13" width="0.83984375" customWidth="1"/>
    <col min="14" max="14" width="9.41796875" customWidth="1"/>
    <col min="15" max="15" width="13.83984375" customWidth="1"/>
    <col min="16" max="16" width="9.15625" customWidth="1"/>
    <col min="17" max="17" width="0.83984375" customWidth="1"/>
    <col min="18" max="18" width="9.15625" customWidth="1"/>
    <col min="19" max="19" width="13.83984375" customWidth="1"/>
    <col min="20" max="20" width="9.15625" customWidth="1"/>
    <col min="21" max="21" width="0.83984375" customWidth="1"/>
    <col min="22" max="22" width="9.15625" customWidth="1"/>
    <col min="23" max="23" width="13.83984375" customWidth="1"/>
    <col min="24" max="24" width="9.15625" customWidth="1"/>
    <col min="25" max="25" width="0.83984375" customWidth="1"/>
    <col min="26" max="26" width="9.15625" customWidth="1"/>
    <col min="27" max="27" width="13.83984375" customWidth="1"/>
    <col min="28" max="28" width="9.15625" customWidth="1"/>
    <col min="29" max="29" width="0.83984375" customWidth="1"/>
    <col min="30" max="30" width="9.15625" customWidth="1"/>
    <col min="31" max="31" width="13.83984375" customWidth="1"/>
    <col min="32" max="32" width="9.15625" customWidth="1"/>
    <col min="33" max="33" width="0.83984375" customWidth="1"/>
    <col min="34" max="34" width="9.15625" customWidth="1"/>
    <col min="35" max="35" width="13.83984375" customWidth="1"/>
    <col min="36" max="36" width="9.15625" customWidth="1"/>
    <col min="37" max="37" width="0.83984375" customWidth="1"/>
    <col min="38" max="38" width="9.15625" customWidth="1"/>
    <col min="39" max="39" width="13.83984375" customWidth="1"/>
    <col min="40" max="40" width="9.15625" customWidth="1"/>
    <col min="41" max="41" width="0.83984375" customWidth="1"/>
    <col min="42" max="42" width="9.15625" customWidth="1"/>
    <col min="43" max="43" width="13.83984375" customWidth="1"/>
    <col min="44" max="44" width="9.15625" customWidth="1"/>
    <col min="45" max="45" width="1.15625" customWidth="1"/>
    <col min="46" max="46" width="9.15625" customWidth="1"/>
    <col min="47" max="47" width="13.83984375" customWidth="1"/>
    <col min="48" max="48" width="9.15625" customWidth="1"/>
  </cols>
  <sheetData>
    <row r="1" spans="1:48" x14ac:dyDescent="0.55000000000000004">
      <c r="A1" s="1" t="s">
        <v>0</v>
      </c>
    </row>
    <row r="2" spans="1:48" x14ac:dyDescent="0.55000000000000004">
      <c r="A2" s="1" t="s">
        <v>1</v>
      </c>
    </row>
    <row r="3" spans="1:48" x14ac:dyDescent="0.55000000000000004">
      <c r="A3" s="1" t="str">
        <f>Input!A86</f>
        <v>San Jose Water Company</v>
      </c>
    </row>
    <row r="4" spans="1:48" ht="14.7" thickBot="1" x14ac:dyDescent="0.6">
      <c r="A4" s="1"/>
    </row>
    <row r="5" spans="1:48" x14ac:dyDescent="0.55000000000000004">
      <c r="A5" s="11" t="s">
        <v>83</v>
      </c>
      <c r="B5" s="12">
        <f>Input!$B$10</f>
        <v>2023</v>
      </c>
    </row>
    <row r="6" spans="1:48" x14ac:dyDescent="0.55000000000000004">
      <c r="A6" s="13" t="s">
        <v>6</v>
      </c>
      <c r="B6" s="57" t="s">
        <v>14</v>
      </c>
      <c r="C6" t="s">
        <v>37</v>
      </c>
    </row>
    <row r="7" spans="1:48" x14ac:dyDescent="0.55000000000000004">
      <c r="A7" s="13" t="s">
        <v>41</v>
      </c>
      <c r="B7" s="177">
        <v>6</v>
      </c>
    </row>
    <row r="8" spans="1:48" x14ac:dyDescent="0.55000000000000004">
      <c r="A8" s="13" t="s">
        <v>8</v>
      </c>
      <c r="B8" s="177" t="s">
        <v>24</v>
      </c>
    </row>
    <row r="9" spans="1:48" x14ac:dyDescent="0.55000000000000004">
      <c r="A9" s="13" t="s">
        <v>89</v>
      </c>
      <c r="B9" s="14" t="s">
        <v>27</v>
      </c>
    </row>
    <row r="10" spans="1:48" x14ac:dyDescent="0.55000000000000004">
      <c r="A10" s="13" t="s">
        <v>51</v>
      </c>
      <c r="B10" s="14" t="str">
        <f>VLOOKUP(B11,Input!$A$86:$C$92,2,FALSE)</f>
        <v>San Jose Water Company</v>
      </c>
    </row>
    <row r="11" spans="1:48" ht="14.7" thickBot="1" x14ac:dyDescent="0.6">
      <c r="A11" s="15" t="s">
        <v>28</v>
      </c>
      <c r="B11" s="35" t="str">
        <f>'Residential Bill_Current_avg'!B11</f>
        <v>San Jose Water Company</v>
      </c>
    </row>
    <row r="12" spans="1:48" ht="14.7" thickBot="1" x14ac:dyDescent="0.6">
      <c r="A12" s="34"/>
      <c r="B12" s="24"/>
    </row>
    <row r="13" spans="1:48" ht="14.7" thickBot="1" x14ac:dyDescent="0.6">
      <c r="A13" s="1"/>
      <c r="B13" s="209" t="str">
        <f>CONCATENATE("January"," ",$B$5)</f>
        <v>January 2023</v>
      </c>
      <c r="C13" s="210"/>
      <c r="D13" s="211"/>
      <c r="F13" s="209" t="str">
        <f>CONCATENATE("February"," ",$B$5)</f>
        <v>February 2023</v>
      </c>
      <c r="G13" s="210"/>
      <c r="H13" s="211"/>
      <c r="J13" s="209" t="str">
        <f>CONCATENATE("March"," ",$B$5)</f>
        <v>March 2023</v>
      </c>
      <c r="K13" s="210"/>
      <c r="L13" s="211"/>
      <c r="N13" s="209" t="str">
        <f>CONCATENATE("April"," ",$B$5)</f>
        <v>April 2023</v>
      </c>
      <c r="O13" s="210"/>
      <c r="P13" s="211"/>
      <c r="R13" s="209" t="str">
        <f>CONCATENATE("May"," ",$B$5)</f>
        <v>May 2023</v>
      </c>
      <c r="S13" s="210"/>
      <c r="T13" s="211"/>
      <c r="V13" s="209" t="str">
        <f>CONCATENATE("June"," ",$B$5)</f>
        <v>June 2023</v>
      </c>
      <c r="W13" s="210"/>
      <c r="X13" s="211"/>
      <c r="Z13" s="209" t="str">
        <f>CONCATENATE("July"," ",$B$5)</f>
        <v>July 2023</v>
      </c>
      <c r="AA13" s="210"/>
      <c r="AB13" s="211"/>
      <c r="AD13" s="209" t="str">
        <f>CONCATENATE("August"," ",$B$5)</f>
        <v>August 2023</v>
      </c>
      <c r="AE13" s="210"/>
      <c r="AF13" s="211"/>
      <c r="AH13" s="209" t="str">
        <f>CONCATENATE("September"," ",$B$5)</f>
        <v>September 2023</v>
      </c>
      <c r="AI13" s="210"/>
      <c r="AJ13" s="211"/>
      <c r="AL13" s="209" t="str">
        <f>CONCATENATE("October"," ",$B$5)</f>
        <v>October 2023</v>
      </c>
      <c r="AM13" s="210"/>
      <c r="AN13" s="211"/>
      <c r="AP13" s="209" t="str">
        <f>CONCATENATE("November"," ",$B$5)</f>
        <v>November 2023</v>
      </c>
      <c r="AQ13" s="210"/>
      <c r="AR13" s="211"/>
      <c r="AS13" s="171"/>
      <c r="AT13" s="209" t="str">
        <f>CONCATENATE("December"," ",$B$5)</f>
        <v>December 2023</v>
      </c>
      <c r="AU13" s="210"/>
      <c r="AV13" s="211"/>
    </row>
    <row r="14" spans="1:48" x14ac:dyDescent="0.55000000000000004">
      <c r="A14" s="1" t="s">
        <v>5</v>
      </c>
      <c r="B14" s="16"/>
      <c r="C14" s="17"/>
      <c r="D14" s="18">
        <f>INDEX(Input!$C$28:$AL$42,MATCH('Residential Bills_Yr 2_6 Units'!$B$6,Input!$A$28:$A$42,0),MATCH('Residential Bills_Yr 2_6 Units'!B$13,Input!$C$27:$AL$27,0))</f>
        <v>53.02</v>
      </c>
      <c r="F14" s="16"/>
      <c r="G14" s="17"/>
      <c r="H14" s="18">
        <f>INDEX(Input!$C$28:$AL$42,MATCH('Residential Bills_Yr 2_6 Units'!$B$6,Input!$A$28:$A$42,0),MATCH('Residential Bills_Yr 2_6 Units'!F$13,Input!$C$27:$AL$27,0))</f>
        <v>53.02</v>
      </c>
      <c r="J14" s="16"/>
      <c r="K14" s="17"/>
      <c r="L14" s="18">
        <f>INDEX(Input!$C$28:$AL$42,MATCH('Residential Bills_Yr 2_6 Units'!$B$6,Input!$A$28:$A$42,0),MATCH('Residential Bills_Yr 2_6 Units'!J$13,Input!$C$27:$AL$27,0))</f>
        <v>53.02</v>
      </c>
      <c r="N14" s="16"/>
      <c r="O14" s="17"/>
      <c r="P14" s="18">
        <f>INDEX(Input!$C$28:$AL$42,MATCH('Residential Bills_Yr 2_6 Units'!$B$6,Input!$A$28:$A$42,0),MATCH('Residential Bills_Yr 2_6 Units'!N$13,Input!$C$27:$AL$27,0))</f>
        <v>53.02</v>
      </c>
      <c r="R14" s="16"/>
      <c r="S14" s="17"/>
      <c r="T14" s="18">
        <f>INDEX(Input!$C$28:$AL$42,MATCH('Residential Bills_Yr 2_6 Units'!$B$6,Input!$A$28:$A$42,0),MATCH('Residential Bills_Yr 2_6 Units'!R$13,Input!$C$27:$AL$27,0))</f>
        <v>53.02</v>
      </c>
      <c r="V14" s="16"/>
      <c r="W14" s="17"/>
      <c r="X14" s="18">
        <f>INDEX(Input!$C$28:$AL$42,MATCH('Residential Bills_Yr 2_6 Units'!$B$6,Input!$A$28:$A$42,0),MATCH('Residential Bills_Yr 2_6 Units'!V$13,Input!$C$27:$AL$27,0))</f>
        <v>53.02</v>
      </c>
      <c r="Z14" s="16"/>
      <c r="AA14" s="17"/>
      <c r="AB14" s="18">
        <f>INDEX(Input!$C$28:$AL$42,MATCH('Residential Bills_Yr 2_6 Units'!$B$6,Input!$A$28:$A$42,0),MATCH('Residential Bills_Yr 2_6 Units'!Z$13,Input!$C$27:$AL$27,0))</f>
        <v>53.02</v>
      </c>
      <c r="AD14" s="16"/>
      <c r="AE14" s="17"/>
      <c r="AF14" s="18">
        <f>INDEX(Input!$C$28:$AL$42,MATCH('Residential Bills_Yr 2_6 Units'!$B$6,Input!$A$28:$A$42,0),MATCH('Residential Bills_Yr 2_6 Units'!AD$13,Input!$C$27:$AL$27,0))</f>
        <v>53.02</v>
      </c>
      <c r="AH14" s="16"/>
      <c r="AI14" s="17"/>
      <c r="AJ14" s="18">
        <f>INDEX(Input!$C$28:$AL$42,MATCH('Residential Bills_Yr 2_6 Units'!$B$6,Input!$A$28:$A$42,0),MATCH('Residential Bills_Yr 2_6 Units'!AH$13,Input!$C$27:$AL$27,0))</f>
        <v>53.02</v>
      </c>
      <c r="AL14" s="16"/>
      <c r="AM14" s="17"/>
      <c r="AN14" s="18">
        <f>INDEX(Input!$C$28:$AL$42,MATCH('Residential Bills_Yr 2_6 Units'!$B$6,Input!$A$28:$A$42,0),MATCH('Residential Bills_Yr 2_6 Units'!AL$13,Input!$C$27:$AL$27,0))</f>
        <v>53.02</v>
      </c>
      <c r="AP14" s="16"/>
      <c r="AQ14" s="17"/>
      <c r="AR14" s="18">
        <f>INDEX(Input!$C$28:$AL$42,MATCH('Residential Bills_Yr 2_6 Units'!$B$6,Input!$A$28:$A$42,0),MATCH('Residential Bills_Yr 2_6 Units'!AP$13,Input!$C$27:$AL$27,0))</f>
        <v>53.02</v>
      </c>
      <c r="AS14" s="175"/>
      <c r="AT14" s="16"/>
      <c r="AU14" s="17"/>
      <c r="AV14" s="18">
        <f>INDEX(Input!$C$28:$AL$42,MATCH('Residential Bills_Yr 2_6 Units'!$B$6,Input!$A$28:$A$42,0),MATCH('Residential Bills_Yr 2_6 Units'!AT$13,Input!$C$27:$AL$27,0))</f>
        <v>53.02</v>
      </c>
    </row>
    <row r="15" spans="1:48" x14ac:dyDescent="0.55000000000000004">
      <c r="B15" s="16"/>
      <c r="C15" s="17"/>
      <c r="D15" s="19"/>
      <c r="F15" s="16"/>
      <c r="G15" s="17"/>
      <c r="H15" s="19"/>
      <c r="J15" s="16"/>
      <c r="K15" s="17"/>
      <c r="L15" s="19"/>
      <c r="N15" s="16"/>
      <c r="O15" s="17"/>
      <c r="P15" s="19"/>
      <c r="R15" s="16"/>
      <c r="S15" s="17"/>
      <c r="T15" s="19"/>
      <c r="V15" s="16"/>
      <c r="W15" s="17"/>
      <c r="X15" s="19"/>
      <c r="Z15" s="16"/>
      <c r="AA15" s="17"/>
      <c r="AB15" s="19"/>
      <c r="AD15" s="16"/>
      <c r="AE15" s="17"/>
      <c r="AF15" s="19"/>
      <c r="AH15" s="16"/>
      <c r="AI15" s="17"/>
      <c r="AJ15" s="19"/>
      <c r="AL15" s="16"/>
      <c r="AM15" s="17"/>
      <c r="AN15" s="19"/>
      <c r="AP15" s="16"/>
      <c r="AQ15" s="17"/>
      <c r="AR15" s="19"/>
      <c r="AS15" s="17"/>
      <c r="AT15" s="16"/>
      <c r="AU15" s="17"/>
      <c r="AV15" s="19"/>
    </row>
    <row r="16" spans="1:48" x14ac:dyDescent="0.55000000000000004">
      <c r="A16" s="1" t="s">
        <v>33</v>
      </c>
      <c r="B16" s="20" t="s">
        <v>29</v>
      </c>
      <c r="C16" s="21" t="s">
        <v>7</v>
      </c>
      <c r="D16" s="22" t="s">
        <v>30</v>
      </c>
      <c r="F16" s="20" t="s">
        <v>29</v>
      </c>
      <c r="G16" s="21" t="s">
        <v>7</v>
      </c>
      <c r="H16" s="111" t="s">
        <v>30</v>
      </c>
      <c r="J16" s="20" t="s">
        <v>29</v>
      </c>
      <c r="K16" s="21" t="s">
        <v>7</v>
      </c>
      <c r="L16" s="111" t="s">
        <v>30</v>
      </c>
      <c r="N16" s="20" t="s">
        <v>29</v>
      </c>
      <c r="O16" s="21" t="s">
        <v>7</v>
      </c>
      <c r="P16" s="111" t="s">
        <v>30</v>
      </c>
      <c r="R16" s="20" t="s">
        <v>29</v>
      </c>
      <c r="S16" s="21" t="s">
        <v>7</v>
      </c>
      <c r="T16" s="111" t="s">
        <v>30</v>
      </c>
      <c r="V16" s="20" t="s">
        <v>29</v>
      </c>
      <c r="W16" s="21" t="s">
        <v>7</v>
      </c>
      <c r="X16" s="111" t="s">
        <v>30</v>
      </c>
      <c r="Z16" s="20" t="s">
        <v>29</v>
      </c>
      <c r="AA16" s="21" t="s">
        <v>7</v>
      </c>
      <c r="AB16" s="111" t="s">
        <v>30</v>
      </c>
      <c r="AD16" s="20" t="s">
        <v>29</v>
      </c>
      <c r="AE16" s="21" t="s">
        <v>7</v>
      </c>
      <c r="AF16" s="111" t="s">
        <v>30</v>
      </c>
      <c r="AH16" s="20" t="s">
        <v>29</v>
      </c>
      <c r="AI16" s="21" t="s">
        <v>7</v>
      </c>
      <c r="AJ16" s="111" t="s">
        <v>30</v>
      </c>
      <c r="AL16" s="20" t="s">
        <v>29</v>
      </c>
      <c r="AM16" s="21" t="s">
        <v>7</v>
      </c>
      <c r="AN16" s="111" t="s">
        <v>30</v>
      </c>
      <c r="AP16" s="20" t="s">
        <v>29</v>
      </c>
      <c r="AQ16" s="21" t="s">
        <v>7</v>
      </c>
      <c r="AR16" s="111" t="s">
        <v>30</v>
      </c>
      <c r="AS16" s="170"/>
      <c r="AT16" s="20" t="s">
        <v>29</v>
      </c>
      <c r="AU16" s="21" t="s">
        <v>7</v>
      </c>
      <c r="AV16" s="111" t="s">
        <v>30</v>
      </c>
    </row>
    <row r="17" spans="1:48" x14ac:dyDescent="0.55000000000000004">
      <c r="A17" t="str">
        <f>Input!A21</f>
        <v>Tier 1</v>
      </c>
      <c r="B17" s="23">
        <f>INDEX(Input!$C$21:$AL$25,MATCH('Residential Bills_Yr 2_6 Units'!$A17,Input!$A$21:$A$25,0),MATCH('Residential Bills_Yr 2_6 Units'!B$13,Input!$C$20:$AL$20,0))</f>
        <v>4.1460999999999997</v>
      </c>
      <c r="C17" s="24">
        <f>IF($B$7&gt;Input!F94,Input!F94,'Residential Bills_Yr 2_6 Units'!$B$7)</f>
        <v>6</v>
      </c>
      <c r="D17" s="25">
        <f>ROUND(IFERROR(B17*C17," "),2)</f>
        <v>24.88</v>
      </c>
      <c r="F17" s="23">
        <f>INDEX(Input!$C$21:$AL$25,MATCH('Residential Bills_Yr 2_6 Units'!$A17,Input!$A$21:$A$25,0),MATCH('Residential Bills_Yr 2_6 Units'!F$13,Input!$C$20:$AL$20,0))</f>
        <v>4.1460999999999997</v>
      </c>
      <c r="G17" s="24">
        <f>IF($B$7&gt;Input!G94,Input!G94,'Residential Bills_Yr 2_6 Units'!$B$7)</f>
        <v>6</v>
      </c>
      <c r="H17" s="25">
        <f>ROUND(IFERROR(F17*G17," "),2)</f>
        <v>24.88</v>
      </c>
      <c r="J17" s="23">
        <f>INDEX(Input!$C$21:$AL$25,MATCH('Residential Bills_Yr 2_6 Units'!$A17,Input!$A$21:$A$25,0),MATCH('Residential Bills_Yr 2_6 Units'!J$13,Input!$C$20:$AL$20,0))</f>
        <v>4.1460999999999997</v>
      </c>
      <c r="K17" s="24">
        <f>IF($B$7&gt;Input!H94,Input!H94,'Residential Bills_Yr 2_6 Units'!$B$7)</f>
        <v>6</v>
      </c>
      <c r="L17" s="25">
        <f>ROUND(IFERROR(J17*K17," "),2)</f>
        <v>24.88</v>
      </c>
      <c r="N17" s="23">
        <f>INDEX(Input!$C$21:$AL$25,MATCH('Residential Bills_Yr 2_6 Units'!$A17,Input!$A$21:$A$25,0),MATCH('Residential Bills_Yr 2_6 Units'!N$13,Input!$C$20:$AL$20,0))</f>
        <v>4.1460999999999997</v>
      </c>
      <c r="O17" s="24">
        <f>IF($B$7&gt;Input!I94,Input!I94,'Residential Bills_Yr 2_6 Units'!$B$7)</f>
        <v>6</v>
      </c>
      <c r="P17" s="25">
        <f>ROUND(IFERROR(N17*O17," "),2)</f>
        <v>24.88</v>
      </c>
      <c r="R17" s="23">
        <f>INDEX(Input!$C$21:$AL$25,MATCH('Residential Bills_Yr 2_6 Units'!$A17,Input!$A$21:$A$25,0),MATCH('Residential Bills_Yr 2_6 Units'!R$13,Input!$C$20:$AL$20,0))</f>
        <v>4.1460999999999997</v>
      </c>
      <c r="S17" s="24">
        <f>IF($B$7&gt;Input!J94,Input!J94,'Residential Bills_Yr 2_6 Units'!$B$7)</f>
        <v>6</v>
      </c>
      <c r="T17" s="25">
        <f>ROUND(IFERROR(R17*S17," "),2)</f>
        <v>24.88</v>
      </c>
      <c r="V17" s="23">
        <f>INDEX(Input!$C$21:$AL$25,MATCH('Residential Bills_Yr 2_6 Units'!$A17,Input!$A$21:$A$25,0),MATCH('Residential Bills_Yr 2_6 Units'!V$13,Input!$C$20:$AL$20,0))</f>
        <v>4.1460999999999997</v>
      </c>
      <c r="W17" s="24">
        <f>IF($B$7&gt;Input!K94,Input!K94,'Residential Bills_Yr 2_6 Units'!$B$7)</f>
        <v>6</v>
      </c>
      <c r="X17" s="25">
        <f>ROUND(IFERROR(V17*W17," "),2)</f>
        <v>24.88</v>
      </c>
      <c r="Z17" s="23">
        <f>INDEX(Input!$C$21:$AL$25,MATCH('Residential Bills_Yr 2_6 Units'!$A17,Input!$A$21:$A$25,0),MATCH('Residential Bills_Yr 2_6 Units'!Z$13,Input!$C$20:$AL$20,0))</f>
        <v>4.1460999999999997</v>
      </c>
      <c r="AA17" s="24">
        <f>IF($B$7&gt;Input!L94,Input!L94,'Residential Bills_Yr 2_6 Units'!$B$7)</f>
        <v>6</v>
      </c>
      <c r="AB17" s="25">
        <f>ROUND(IFERROR(Z17*AA17," "),2)</f>
        <v>24.88</v>
      </c>
      <c r="AD17" s="23">
        <f>INDEX(Input!$C$21:$AL$25,MATCH('Residential Bills_Yr 2_6 Units'!$A17,Input!$A$21:$A$25,0),MATCH('Residential Bills_Yr 2_6 Units'!AD$13,Input!$C$20:$AL$20,0))</f>
        <v>4.1460999999999997</v>
      </c>
      <c r="AE17" s="24">
        <f>IF($B$7&gt;Input!M94,Input!M94,'Residential Bills_Yr 2_6 Units'!$B$7)</f>
        <v>6</v>
      </c>
      <c r="AF17" s="25">
        <f>ROUND(IFERROR(AD17*AE17," "),2)</f>
        <v>24.88</v>
      </c>
      <c r="AH17" s="23">
        <f>INDEX(Input!$C$21:$AL$25,MATCH('Residential Bills_Yr 2_6 Units'!$A17,Input!$A$21:$A$25,0),MATCH('Residential Bills_Yr 2_6 Units'!AH$13,Input!$C$20:$AL$20,0))</f>
        <v>4.1460999999999997</v>
      </c>
      <c r="AI17" s="24">
        <f>IF($B$7&gt;Input!N94,Input!N94,'Residential Bills_Yr 2_6 Units'!$B$7)</f>
        <v>6</v>
      </c>
      <c r="AJ17" s="25">
        <f>ROUND(IFERROR(AH17*AI17," "),2)</f>
        <v>24.88</v>
      </c>
      <c r="AL17" s="23">
        <f>INDEX(Input!$C$21:$AL$25,MATCH('Residential Bills_Yr 2_6 Units'!$A17,Input!$A$21:$A$25,0),MATCH('Residential Bills_Yr 2_6 Units'!AL$13,Input!$C$20:$AL$20,0))</f>
        <v>4.1460999999999997</v>
      </c>
      <c r="AM17" s="24">
        <f>IF($B$7&gt;Input!O94,Input!O94,'Residential Bills_Yr 2_6 Units'!$B$7)</f>
        <v>6</v>
      </c>
      <c r="AN17" s="25">
        <f>ROUND(IFERROR(AL17*AM17," "),2)</f>
        <v>24.88</v>
      </c>
      <c r="AP17" s="23">
        <f>INDEX(Input!$C$21:$AL$25,MATCH('Residential Bills_Yr 2_6 Units'!$A17,Input!$A$21:$A$25,0),MATCH('Residential Bills_Yr 2_6 Units'!AP$13,Input!$C$20:$AL$20,0))</f>
        <v>4.1460999999999997</v>
      </c>
      <c r="AQ17" s="24">
        <f>IF($B$7&gt;Input!P94,Input!P94,'Residential Bills_Yr 2_6 Units'!$B$7)</f>
        <v>6</v>
      </c>
      <c r="AR17" s="25">
        <f>ROUND(IFERROR(AP17*AQ17," "),2)</f>
        <v>24.88</v>
      </c>
      <c r="AS17" s="30"/>
      <c r="AT17" s="23">
        <f>INDEX(Input!$C$21:$AL$25,MATCH('Residential Bills_Yr 2_6 Units'!$A17,Input!$A$21:$A$25,0),MATCH('Residential Bills_Yr 2_6 Units'!AT$13,Input!$C$20:$AL$20,0))</f>
        <v>4.1460999999999997</v>
      </c>
      <c r="AU17" s="24">
        <f>IF($B$7&gt;Input!Q94,Input!Q94,'Residential Bills_Yr 2_6 Units'!$B$7)</f>
        <v>6</v>
      </c>
      <c r="AV17" s="25">
        <f>ROUND(IFERROR(AT17*AU17," "),2)</f>
        <v>24.88</v>
      </c>
    </row>
    <row r="18" spans="1:48" x14ac:dyDescent="0.55000000000000004">
      <c r="A18" t="str">
        <f>Input!A22</f>
        <v>Tier 2</v>
      </c>
      <c r="B18" s="23">
        <f>INDEX(Input!$C$21:$AL$25,MATCH('Residential Bills_Yr 2_6 Units'!$A18,Input!$A$21:$A$25,0),MATCH('Residential Bills_Yr 2_6 Units'!B$13,Input!$C$20:$AL$20,0))</f>
        <v>5.9352</v>
      </c>
      <c r="C18" s="24">
        <f>IF(($B$7-C17)&gt;Input!F95,Input!F95,($B$7-C17))</f>
        <v>0</v>
      </c>
      <c r="D18" s="25">
        <f>ROUND(IFERROR(B18*C18," "),2)</f>
        <v>0</v>
      </c>
      <c r="F18" s="23">
        <f>INDEX(Input!$C$21:$AL$25,MATCH('Residential Bills_Yr 2_6 Units'!$A18,Input!$A$21:$A$25,0),MATCH('Residential Bills_Yr 2_6 Units'!F$13,Input!$C$20:$AL$20,0))</f>
        <v>5.9352</v>
      </c>
      <c r="G18" s="24">
        <f>IF(($B$7-G17)&gt;Input!G95,Input!G95,($B$7-G17))</f>
        <v>0</v>
      </c>
      <c r="H18" s="25">
        <f>ROUND(IFERROR(F18*G18," "),2)</f>
        <v>0</v>
      </c>
      <c r="J18" s="23">
        <f>INDEX(Input!$C$21:$AL$25,MATCH('Residential Bills_Yr 2_6 Units'!$A18,Input!$A$21:$A$25,0),MATCH('Residential Bills_Yr 2_6 Units'!J$13,Input!$C$20:$AL$20,0))</f>
        <v>5.9352</v>
      </c>
      <c r="K18" s="24">
        <f>IF(($B$7-K17)&gt;Input!H95,Input!H95,($B$7-K17))</f>
        <v>0</v>
      </c>
      <c r="L18" s="25">
        <f>ROUND(IFERROR(J18*K18," "),2)</f>
        <v>0</v>
      </c>
      <c r="N18" s="23">
        <f>INDEX(Input!$C$21:$AL$25,MATCH('Residential Bills_Yr 2_6 Units'!$A18,Input!$A$21:$A$25,0),MATCH('Residential Bills_Yr 2_6 Units'!N$13,Input!$C$20:$AL$20,0))</f>
        <v>5.9352</v>
      </c>
      <c r="O18" s="24">
        <f>IF(($B$7-O17)&gt;Input!I95,Input!I95,($B$7-O17))</f>
        <v>0</v>
      </c>
      <c r="P18" s="25">
        <f>ROUND(IFERROR(N18*O18," "),2)</f>
        <v>0</v>
      </c>
      <c r="R18" s="23">
        <f>INDEX(Input!$C$21:$AL$25,MATCH('Residential Bills_Yr 2_6 Units'!$A18,Input!$A$21:$A$25,0),MATCH('Residential Bills_Yr 2_6 Units'!R$13,Input!$C$20:$AL$20,0))</f>
        <v>5.9352</v>
      </c>
      <c r="S18" s="24">
        <f>IF(($B$7-S17)&gt;Input!J95,Input!J95,($B$7-S17))</f>
        <v>0</v>
      </c>
      <c r="T18" s="25">
        <f>ROUND(IFERROR(R18*S18," "),2)</f>
        <v>0</v>
      </c>
      <c r="V18" s="23">
        <f>INDEX(Input!$C$21:$AL$25,MATCH('Residential Bills_Yr 2_6 Units'!$A18,Input!$A$21:$A$25,0),MATCH('Residential Bills_Yr 2_6 Units'!V$13,Input!$C$20:$AL$20,0))</f>
        <v>5.9352</v>
      </c>
      <c r="W18" s="24">
        <f>IF(($B$7-W17)&gt;Input!K95,Input!K95,($B$7-W17))</f>
        <v>0</v>
      </c>
      <c r="X18" s="25">
        <f>ROUND(IFERROR(V18*W18," "),2)</f>
        <v>0</v>
      </c>
      <c r="Z18" s="23">
        <f>INDEX(Input!$C$21:$AL$25,MATCH('Residential Bills_Yr 2_6 Units'!$A18,Input!$A$21:$A$25,0),MATCH('Residential Bills_Yr 2_6 Units'!Z$13,Input!$C$20:$AL$20,0))</f>
        <v>5.9352</v>
      </c>
      <c r="AA18" s="24">
        <f>IF(($B$7-AA17)&gt;Input!L95,Input!L95,($B$7-AA17))</f>
        <v>0</v>
      </c>
      <c r="AB18" s="25">
        <f>ROUND(IFERROR(Z18*AA18," "),2)</f>
        <v>0</v>
      </c>
      <c r="AD18" s="23">
        <f>INDEX(Input!$C$21:$AL$25,MATCH('Residential Bills_Yr 2_6 Units'!$A18,Input!$A$21:$A$25,0),MATCH('Residential Bills_Yr 2_6 Units'!AD$13,Input!$C$20:$AL$20,0))</f>
        <v>5.9352</v>
      </c>
      <c r="AE18" s="24">
        <f>IF(($B$7-AE17)&gt;Input!M95,Input!M95,($B$7-AE17))</f>
        <v>0</v>
      </c>
      <c r="AF18" s="25">
        <f>ROUND(IFERROR(AD18*AE18," "),2)</f>
        <v>0</v>
      </c>
      <c r="AH18" s="23">
        <f>INDEX(Input!$C$21:$AL$25,MATCH('Residential Bills_Yr 2_6 Units'!$A18,Input!$A$21:$A$25,0),MATCH('Residential Bills_Yr 2_6 Units'!AH$13,Input!$C$20:$AL$20,0))</f>
        <v>5.9352</v>
      </c>
      <c r="AI18" s="24">
        <f>IF(($B$7-AI17)&gt;Input!N95,Input!N95,($B$7-AI17))</f>
        <v>0</v>
      </c>
      <c r="AJ18" s="25">
        <f>ROUND(IFERROR(AH18*AI18," "),2)</f>
        <v>0</v>
      </c>
      <c r="AL18" s="23">
        <f>INDEX(Input!$C$21:$AL$25,MATCH('Residential Bills_Yr 2_6 Units'!$A18,Input!$A$21:$A$25,0),MATCH('Residential Bills_Yr 2_6 Units'!AL$13,Input!$C$20:$AL$20,0))</f>
        <v>5.9352</v>
      </c>
      <c r="AM18" s="24">
        <f>IF(($B$7-AM17)&gt;Input!O95,Input!O95,($B$7-AM17))</f>
        <v>0</v>
      </c>
      <c r="AN18" s="25">
        <f>ROUND(IFERROR(AL18*AM18," "),2)</f>
        <v>0</v>
      </c>
      <c r="AP18" s="23">
        <f>INDEX(Input!$C$21:$AL$25,MATCH('Residential Bills_Yr 2_6 Units'!$A18,Input!$A$21:$A$25,0),MATCH('Residential Bills_Yr 2_6 Units'!AP$13,Input!$C$20:$AL$20,0))</f>
        <v>5.9352</v>
      </c>
      <c r="AQ18" s="24">
        <f>IF(($B$7-AQ17)&gt;Input!P95,Input!P95,($B$7-AQ17))</f>
        <v>0</v>
      </c>
      <c r="AR18" s="25">
        <f>ROUND(IFERROR(AP18*AQ18," "),2)</f>
        <v>0</v>
      </c>
      <c r="AS18" s="30"/>
      <c r="AT18" s="23">
        <f>INDEX(Input!$C$21:$AL$25,MATCH('Residential Bills_Yr 2_6 Units'!$A18,Input!$A$21:$A$25,0),MATCH('Residential Bills_Yr 2_6 Units'!AT$13,Input!$C$20:$AL$20,0))</f>
        <v>5.9352</v>
      </c>
      <c r="AU18" s="24">
        <f>IF(($B$7-AU17)&gt;Input!Q95,Input!Q95,($B$7-AU17))</f>
        <v>0</v>
      </c>
      <c r="AV18" s="25">
        <f>ROUND(IFERROR(AT18*AU18," "),2)</f>
        <v>0</v>
      </c>
    </row>
    <row r="19" spans="1:48" x14ac:dyDescent="0.55000000000000004">
      <c r="A19" t="str">
        <f>Input!A23</f>
        <v>Tier 3</v>
      </c>
      <c r="B19" s="23">
        <f>INDEX(Input!$C$21:$AL$25,MATCH('Residential Bills_Yr 2_6 Units'!$A19,Input!$A$21:$A$25,0),MATCH('Residential Bills_Yr 2_6 Units'!B$13,Input!$C$20:$AL$20,0))</f>
        <v>9.1687999999999992</v>
      </c>
      <c r="C19" s="24">
        <v>0</v>
      </c>
      <c r="D19" s="25">
        <f>ROUND(IFERROR(B19*C19," "),2)</f>
        <v>0</v>
      </c>
      <c r="F19" s="23">
        <f>INDEX(Input!$C$21:$AL$25,MATCH('Residential Bills_Yr 2_6 Units'!$A19,Input!$A$21:$A$25,0),MATCH('Residential Bills_Yr 2_6 Units'!F$13,Input!$C$20:$AL$20,0))</f>
        <v>9.1687999999999992</v>
      </c>
      <c r="G19" s="24">
        <f>IF(OR(Input!G92="Tier 4",Input!G92="Tier 5"),IF(('Residential Bills_Yr 2_6 Units'!$B$7-'Residential Bills_Yr 2_6 Units'!G17-'Residential Bills_Yr 2_6 Units'!G18)&gt;Input!G96,Input!G96,('Residential Bills_Yr 2_6 Units'!$B$7-'Residential Bills_Yr 2_6 Units'!G17-'Residential Bills_Yr 2_6 Units'!G18)),('Residential Bills_Yr 2_6 Units'!$B$7-'Residential Bills_Yr 2_6 Units'!G17-'Residential Bills_Yr 2_6 Units'!G18))</f>
        <v>0</v>
      </c>
      <c r="H19" s="25">
        <f>ROUND(IFERROR(F19*G19," "),2)</f>
        <v>0</v>
      </c>
      <c r="J19" s="23">
        <f>INDEX(Input!$C$21:$AL$25,MATCH('Residential Bills_Yr 2_6 Units'!$A19,Input!$A$21:$A$25,0),MATCH('Residential Bills_Yr 2_6 Units'!J$13,Input!$C$20:$AL$20,0))</f>
        <v>9.1687999999999992</v>
      </c>
      <c r="K19" s="24">
        <f>IF(OR(Input!H92="Tier 4",Input!H92="Tier 5"),IF(('Residential Bills_Yr 2_6 Units'!$B$7-'Residential Bills_Yr 2_6 Units'!K17-'Residential Bills_Yr 2_6 Units'!K18)&gt;Input!H96,Input!H96,('Residential Bills_Yr 2_6 Units'!$B$7-'Residential Bills_Yr 2_6 Units'!K17-'Residential Bills_Yr 2_6 Units'!K18)),('Residential Bills_Yr 2_6 Units'!$B$7-'Residential Bills_Yr 2_6 Units'!K17-'Residential Bills_Yr 2_6 Units'!K18))</f>
        <v>0</v>
      </c>
      <c r="L19" s="25">
        <f>ROUND(IFERROR(J19*K19," "),2)</f>
        <v>0</v>
      </c>
      <c r="N19" s="23">
        <f>INDEX(Input!$C$21:$AL$25,MATCH('Residential Bills_Yr 2_6 Units'!$A19,Input!$A$21:$A$25,0),MATCH('Residential Bills_Yr 2_6 Units'!N$13,Input!$C$20:$AL$20,0))</f>
        <v>9.1687999999999992</v>
      </c>
      <c r="O19" s="24">
        <f>IF(OR(Input!I92="Tier 4",Input!I92="Tier 5"),IF(('Residential Bills_Yr 2_6 Units'!$B$7-'Residential Bills_Yr 2_6 Units'!O17-'Residential Bills_Yr 2_6 Units'!O18)&gt;Input!I96,Input!I96,('Residential Bills_Yr 2_6 Units'!$B$7-'Residential Bills_Yr 2_6 Units'!O17-'Residential Bills_Yr 2_6 Units'!O18)),('Residential Bills_Yr 2_6 Units'!$B$7-'Residential Bills_Yr 2_6 Units'!O17-'Residential Bills_Yr 2_6 Units'!O18))</f>
        <v>0</v>
      </c>
      <c r="P19" s="25">
        <f>ROUND(IFERROR(N19*O19," "),2)</f>
        <v>0</v>
      </c>
      <c r="R19" s="23">
        <f>INDEX(Input!$C$21:$AL$25,MATCH('Residential Bills_Yr 2_6 Units'!$A19,Input!$A$21:$A$25,0),MATCH('Residential Bills_Yr 2_6 Units'!R$13,Input!$C$20:$AL$20,0))</f>
        <v>9.1687999999999992</v>
      </c>
      <c r="S19" s="24">
        <f>IF(OR(Input!J92="Tier 4",Input!J92="Tier 5"),IF(('Residential Bills_Yr 2_6 Units'!$B$7-'Residential Bills_Yr 2_6 Units'!S17-'Residential Bills_Yr 2_6 Units'!S18)&gt;Input!J96,Input!J96,('Residential Bills_Yr 2_6 Units'!$B$7-'Residential Bills_Yr 2_6 Units'!S17-'Residential Bills_Yr 2_6 Units'!S18)),('Residential Bills_Yr 2_6 Units'!$B$7-'Residential Bills_Yr 2_6 Units'!S17-'Residential Bills_Yr 2_6 Units'!S18))</f>
        <v>0</v>
      </c>
      <c r="T19" s="25">
        <f>ROUND(IFERROR(R19*S19," "),2)</f>
        <v>0</v>
      </c>
      <c r="V19" s="23">
        <f>INDEX(Input!$C$21:$AL$25,MATCH('Residential Bills_Yr 2_6 Units'!$A19,Input!$A$21:$A$25,0),MATCH('Residential Bills_Yr 2_6 Units'!V$13,Input!$C$20:$AL$20,0))</f>
        <v>9.1687999999999992</v>
      </c>
      <c r="W19" s="24">
        <f>IF(OR(Input!K92="Tier 4",Input!K92="Tier 5"),IF(('Residential Bills_Yr 2_6 Units'!$B$7-'Residential Bills_Yr 2_6 Units'!W17-'Residential Bills_Yr 2_6 Units'!W18)&gt;Input!K96,Input!K96,('Residential Bills_Yr 2_6 Units'!$B$7-'Residential Bills_Yr 2_6 Units'!W17-'Residential Bills_Yr 2_6 Units'!W18)),('Residential Bills_Yr 2_6 Units'!$B$7-'Residential Bills_Yr 2_6 Units'!W17-'Residential Bills_Yr 2_6 Units'!W18))</f>
        <v>0</v>
      </c>
      <c r="X19" s="25">
        <f>ROUND(IFERROR(V19*W19," "),2)</f>
        <v>0</v>
      </c>
      <c r="Z19" s="23">
        <f>INDEX(Input!$C$21:$AL$25,MATCH('Residential Bills_Yr 2_6 Units'!$A19,Input!$A$21:$A$25,0),MATCH('Residential Bills_Yr 2_6 Units'!Z$13,Input!$C$20:$AL$20,0))</f>
        <v>9.1687999999999992</v>
      </c>
      <c r="AA19" s="24">
        <f>IF(OR(Input!L92="Tier 4",Input!L92="Tier 5"),IF(('Residential Bills_Yr 2_6 Units'!$B$7-'Residential Bills_Yr 2_6 Units'!AA17-'Residential Bills_Yr 2_6 Units'!AA18)&gt;Input!L96,Input!L96,('Residential Bills_Yr 2_6 Units'!$B$7-'Residential Bills_Yr 2_6 Units'!AA17-'Residential Bills_Yr 2_6 Units'!AA18)),('Residential Bills_Yr 2_6 Units'!$B$7-'Residential Bills_Yr 2_6 Units'!AA17-'Residential Bills_Yr 2_6 Units'!AA18))</f>
        <v>0</v>
      </c>
      <c r="AB19" s="25">
        <f>ROUND(IFERROR(Z19*AA19," "),2)</f>
        <v>0</v>
      </c>
      <c r="AD19" s="23">
        <f>INDEX(Input!$C$21:$AL$25,MATCH('Residential Bills_Yr 2_6 Units'!$A19,Input!$A$21:$A$25,0),MATCH('Residential Bills_Yr 2_6 Units'!AD$13,Input!$C$20:$AL$20,0))</f>
        <v>9.1687999999999992</v>
      </c>
      <c r="AE19" s="24">
        <f>IF(OR(Input!M92="Tier 4",Input!M92="Tier 5"),IF(('Residential Bills_Yr 2_6 Units'!$B$7-'Residential Bills_Yr 2_6 Units'!AE17-'Residential Bills_Yr 2_6 Units'!AE18)&gt;Input!M96,Input!M96,('Residential Bills_Yr 2_6 Units'!$B$7-'Residential Bills_Yr 2_6 Units'!AE17-'Residential Bills_Yr 2_6 Units'!AE18)),('Residential Bills_Yr 2_6 Units'!$B$7-'Residential Bills_Yr 2_6 Units'!AE17-'Residential Bills_Yr 2_6 Units'!AE18))</f>
        <v>0</v>
      </c>
      <c r="AF19" s="25">
        <f>ROUND(IFERROR(AD19*AE19," "),2)</f>
        <v>0</v>
      </c>
      <c r="AH19" s="23">
        <f>INDEX(Input!$C$21:$AL$25,MATCH('Residential Bills_Yr 2_6 Units'!$A19,Input!$A$21:$A$25,0),MATCH('Residential Bills_Yr 2_6 Units'!AH$13,Input!$C$20:$AL$20,0))</f>
        <v>9.1687999999999992</v>
      </c>
      <c r="AI19" s="24">
        <f>IF(OR(Input!N92="Tier 4",Input!N92="Tier 5"),IF(('Residential Bills_Yr 2_6 Units'!$B$7-'Residential Bills_Yr 2_6 Units'!AI17-'Residential Bills_Yr 2_6 Units'!AI18)&gt;Input!N96,Input!N96,('Residential Bills_Yr 2_6 Units'!$B$7-'Residential Bills_Yr 2_6 Units'!AI17-'Residential Bills_Yr 2_6 Units'!AI18)),('Residential Bills_Yr 2_6 Units'!$B$7-'Residential Bills_Yr 2_6 Units'!AI17-'Residential Bills_Yr 2_6 Units'!AI18))</f>
        <v>0</v>
      </c>
      <c r="AJ19" s="25">
        <f>ROUND(IFERROR(AH19*AI19," "),2)</f>
        <v>0</v>
      </c>
      <c r="AL19" s="23">
        <f>INDEX(Input!$C$21:$AL$25,MATCH('Residential Bills_Yr 2_6 Units'!$A19,Input!$A$21:$A$25,0),MATCH('Residential Bills_Yr 2_6 Units'!AL$13,Input!$C$20:$AL$20,0))</f>
        <v>9.1687999999999992</v>
      </c>
      <c r="AM19" s="24">
        <f>IF(OR(Input!O92="Tier 4",Input!O92="Tier 5"),IF(('Residential Bills_Yr 2_6 Units'!$B$7-'Residential Bills_Yr 2_6 Units'!AM17-'Residential Bills_Yr 2_6 Units'!AM18)&gt;Input!O96,Input!O96,('Residential Bills_Yr 2_6 Units'!$B$7-'Residential Bills_Yr 2_6 Units'!AM17-'Residential Bills_Yr 2_6 Units'!AM18)),('Residential Bills_Yr 2_6 Units'!$B$7-'Residential Bills_Yr 2_6 Units'!AM17-'Residential Bills_Yr 2_6 Units'!AM18))</f>
        <v>0</v>
      </c>
      <c r="AN19" s="25">
        <f>ROUND(IFERROR(AL19*AM19," "),2)</f>
        <v>0</v>
      </c>
      <c r="AP19" s="23">
        <f>INDEX(Input!$C$21:$AL$25,MATCH('Residential Bills_Yr 2_6 Units'!$A19,Input!$A$21:$A$25,0),MATCH('Residential Bills_Yr 2_6 Units'!AP$13,Input!$C$20:$AL$20,0))</f>
        <v>9.1687999999999992</v>
      </c>
      <c r="AQ19" s="24">
        <f>IF(OR(Input!P92="Tier 4",Input!P92="Tier 5"),IF(('Residential Bills_Yr 2_6 Units'!$B$7-'Residential Bills_Yr 2_6 Units'!AQ17-'Residential Bills_Yr 2_6 Units'!AQ18)&gt;Input!P96,Input!P96,('Residential Bills_Yr 2_6 Units'!$B$7-'Residential Bills_Yr 2_6 Units'!AQ17-'Residential Bills_Yr 2_6 Units'!AQ18)),('Residential Bills_Yr 2_6 Units'!$B$7-'Residential Bills_Yr 2_6 Units'!AQ17-'Residential Bills_Yr 2_6 Units'!AQ18))</f>
        <v>0</v>
      </c>
      <c r="AR19" s="25">
        <f>ROUND(IFERROR(AP19*AQ19," "),2)</f>
        <v>0</v>
      </c>
      <c r="AS19" s="30"/>
      <c r="AT19" s="23">
        <f>INDEX(Input!$C$21:$AL$25,MATCH('Residential Bills_Yr 2_6 Units'!$A19,Input!$A$21:$A$25,0),MATCH('Residential Bills_Yr 2_6 Units'!AT$13,Input!$C$20:$AL$20,0))</f>
        <v>9.1687999999999992</v>
      </c>
      <c r="AU19" s="24">
        <f>IF(OR(Input!Q92="Tier 4",Input!Q92="Tier 5"),IF(('Residential Bills_Yr 2_6 Units'!$B$7-'Residential Bills_Yr 2_6 Units'!AU17-'Residential Bills_Yr 2_6 Units'!AU18)&gt;Input!Q96,Input!Q96,('Residential Bills_Yr 2_6 Units'!$B$7-'Residential Bills_Yr 2_6 Units'!AU17-'Residential Bills_Yr 2_6 Units'!AU18)),('Residential Bills_Yr 2_6 Units'!$B$7-'Residential Bills_Yr 2_6 Units'!AU17-'Residential Bills_Yr 2_6 Units'!AU18))</f>
        <v>0</v>
      </c>
      <c r="AV19" s="25">
        <f>ROUND(IFERROR(AT19*AU19," "),2)</f>
        <v>0</v>
      </c>
    </row>
    <row r="20" spans="1:48" ht="14.5" hidden="1" customHeight="1" x14ac:dyDescent="0.55000000000000004">
      <c r="A20" t="str">
        <f>Input!A24</f>
        <v>Tier 4</v>
      </c>
      <c r="B20" s="23">
        <f>INDEX(Input!$C$21:$AL$25,MATCH('Residential Bills_Yr 2_6 Units'!$A20,Input!$A$21:$A$25,0),MATCH('Residential Bills_Yr 2_6 Units'!B$13,Input!$C$20:$AL$20,0))</f>
        <v>0</v>
      </c>
      <c r="C20" s="24" t="str">
        <f>IF(Input!F92="Tier 4",($B$7-C17-C18-C19),IF(Input!F92="Tier 5",IF(('Residential Bills_Yr 2_6 Units'!$B$7-'Residential Bills_Yr 2_6 Units'!C17-'Residential Bills_Yr 2_6 Units'!C18-'Residential Bills_Yr 2_6 Units'!C19)&gt;Input!F97,Input!F97,('Residential Bills_Yr 2_6 Units'!$B$7-'Residential Bills_Yr 2_6 Units'!C17-'Residential Bills_Yr 2_6 Units'!C18-'Residential Bills_Yr 2_6 Units'!C19))," "))</f>
        <v xml:space="preserve"> </v>
      </c>
      <c r="D20" s="25" t="str">
        <f t="shared" ref="D20:D21" si="0">IFERROR(B20*C20," ")</f>
        <v xml:space="preserve"> </v>
      </c>
      <c r="F20" s="23">
        <f>INDEX(Input!$C$21:$AL$25,MATCH('Residential Bills_Yr 2_6 Units'!$A20,Input!$A$21:$A$25,0),MATCH('Residential Bills_Yr 2_6 Units'!F$13,Input!$C$20:$AL$20,0))</f>
        <v>0</v>
      </c>
      <c r="G20" s="24" t="str">
        <f>IF(Input!G92="Tier 4",($B$7-G17-G18-G19),IF(Input!G92="Tier 5",IF(('Residential Bills_Yr 2_6 Units'!$B$7-'Residential Bills_Yr 2_6 Units'!G17-'Residential Bills_Yr 2_6 Units'!G18-'Residential Bills_Yr 2_6 Units'!G19)&gt;Input!G97,Input!G97,('Residential Bills_Yr 2_6 Units'!$B$7-'Residential Bills_Yr 2_6 Units'!G17-'Residential Bills_Yr 2_6 Units'!G18-'Residential Bills_Yr 2_6 Units'!G19))," "))</f>
        <v xml:space="preserve"> </v>
      </c>
      <c r="H20" s="25" t="str">
        <f t="shared" ref="H20:H21" si="1">IFERROR(F20*G20," ")</f>
        <v xml:space="preserve"> </v>
      </c>
      <c r="J20" s="23">
        <f>INDEX(Input!$C$21:$AL$25,MATCH('Residential Bills_Yr 2_6 Units'!$A20,Input!$A$21:$A$25,0),MATCH('Residential Bills_Yr 2_6 Units'!J$13,Input!$C$20:$AL$20,0))</f>
        <v>0</v>
      </c>
      <c r="K20" s="24" t="str">
        <f>IF(Input!H92="Tier 4",($B$7-K17-K18-K19),IF(Input!H92="Tier 5",IF(('Residential Bills_Yr 2_6 Units'!$B$7-'Residential Bills_Yr 2_6 Units'!K17-'Residential Bills_Yr 2_6 Units'!K18-'Residential Bills_Yr 2_6 Units'!K19)&gt;Input!H97,Input!H97,('Residential Bills_Yr 2_6 Units'!$B$7-'Residential Bills_Yr 2_6 Units'!K17-'Residential Bills_Yr 2_6 Units'!K18-'Residential Bills_Yr 2_6 Units'!K19))," "))</f>
        <v xml:space="preserve"> </v>
      </c>
      <c r="L20" s="25" t="str">
        <f t="shared" ref="L20:L21" si="2">IFERROR(J20*K20," ")</f>
        <v xml:space="preserve"> </v>
      </c>
      <c r="N20" s="23">
        <f>INDEX(Input!$C$21:$AL$25,MATCH('Residential Bills_Yr 2_6 Units'!$A20,Input!$A$21:$A$25,0),MATCH('Residential Bills_Yr 2_6 Units'!N$13,Input!$C$20:$AL$20,0))</f>
        <v>0</v>
      </c>
      <c r="O20" s="24" t="str">
        <f>IF(Input!I92="Tier 4",($B$7-O17-O18-O19),IF(Input!I92="Tier 5",IF(('Residential Bills_Yr 2_6 Units'!$B$7-'Residential Bills_Yr 2_6 Units'!O17-'Residential Bills_Yr 2_6 Units'!O18-'Residential Bills_Yr 2_6 Units'!O19)&gt;Input!I97,Input!I97,('Residential Bills_Yr 2_6 Units'!$B$7-'Residential Bills_Yr 2_6 Units'!O17-'Residential Bills_Yr 2_6 Units'!O18-'Residential Bills_Yr 2_6 Units'!O19))," "))</f>
        <v xml:space="preserve"> </v>
      </c>
      <c r="P20" s="25" t="str">
        <f t="shared" ref="P20:P21" si="3">IFERROR(N20*O20," ")</f>
        <v xml:space="preserve"> </v>
      </c>
      <c r="R20" s="23">
        <f>INDEX(Input!$C$21:$AL$25,MATCH('Residential Bills_Yr 2_6 Units'!$A20,Input!$A$21:$A$25,0),MATCH('Residential Bills_Yr 2_6 Units'!R$13,Input!$C$20:$AL$20,0))</f>
        <v>0</v>
      </c>
      <c r="S20" s="24" t="str">
        <f>IF(Input!J92="Tier 4",($B$7-S17-S18-S19),IF(Input!J92="Tier 5",IF(('Residential Bills_Yr 2_6 Units'!$B$7-'Residential Bills_Yr 2_6 Units'!S17-'Residential Bills_Yr 2_6 Units'!S18-'Residential Bills_Yr 2_6 Units'!S19)&gt;Input!J97,Input!J97,('Residential Bills_Yr 2_6 Units'!$B$7-'Residential Bills_Yr 2_6 Units'!S17-'Residential Bills_Yr 2_6 Units'!S18-'Residential Bills_Yr 2_6 Units'!S19))," "))</f>
        <v xml:space="preserve"> </v>
      </c>
      <c r="T20" s="25" t="str">
        <f t="shared" ref="T20:T21" si="4">IFERROR(R20*S20," ")</f>
        <v xml:space="preserve"> </v>
      </c>
      <c r="V20" s="23">
        <f>INDEX(Input!$C$21:$AL$25,MATCH('Residential Bills_Yr 2_6 Units'!$A20,Input!$A$21:$A$25,0),MATCH('Residential Bills_Yr 2_6 Units'!V$13,Input!$C$20:$AL$20,0))</f>
        <v>0</v>
      </c>
      <c r="W20" s="24" t="str">
        <f>IF(Input!K92="Tier 4",($B$7-W17-W18-W19),IF(Input!K92="Tier 5",IF(('Residential Bills_Yr 2_6 Units'!$B$7-'Residential Bills_Yr 2_6 Units'!W17-'Residential Bills_Yr 2_6 Units'!W18-'Residential Bills_Yr 2_6 Units'!W19)&gt;Input!K97,Input!K97,('Residential Bills_Yr 2_6 Units'!$B$7-'Residential Bills_Yr 2_6 Units'!W17-'Residential Bills_Yr 2_6 Units'!W18-'Residential Bills_Yr 2_6 Units'!W19))," "))</f>
        <v xml:space="preserve"> </v>
      </c>
      <c r="X20" s="25" t="str">
        <f t="shared" ref="X20:X21" si="5">IFERROR(V20*W20," ")</f>
        <v xml:space="preserve"> </v>
      </c>
      <c r="Z20" s="23">
        <f>INDEX(Input!$C$21:$AL$25,MATCH('Residential Bills_Yr 2_6 Units'!$A20,Input!$A$21:$A$25,0),MATCH('Residential Bills_Yr 2_6 Units'!Z$13,Input!$C$20:$AL$20,0))</f>
        <v>0</v>
      </c>
      <c r="AA20" s="24" t="str">
        <f>IF(Input!L92="Tier 4",($B$7-AA17-AA18-AA19),IF(Input!L92="Tier 5",IF(('Residential Bills_Yr 2_6 Units'!$B$7-'Residential Bills_Yr 2_6 Units'!AA17-'Residential Bills_Yr 2_6 Units'!AA18-'Residential Bills_Yr 2_6 Units'!AA19)&gt;Input!L97,Input!L97,('Residential Bills_Yr 2_6 Units'!$B$7-'Residential Bills_Yr 2_6 Units'!AA17-'Residential Bills_Yr 2_6 Units'!AA18-'Residential Bills_Yr 2_6 Units'!AA19))," "))</f>
        <v xml:space="preserve"> </v>
      </c>
      <c r="AB20" s="25" t="str">
        <f t="shared" ref="AB20:AB21" si="6">IFERROR(Z20*AA20," ")</f>
        <v xml:space="preserve"> </v>
      </c>
      <c r="AD20" s="23">
        <f>INDEX(Input!$C$21:$AL$25,MATCH('Residential Bills_Yr 2_6 Units'!$A20,Input!$A$21:$A$25,0),MATCH('Residential Bills_Yr 2_6 Units'!AD$13,Input!$C$20:$AL$20,0))</f>
        <v>0</v>
      </c>
      <c r="AE20" s="24" t="str">
        <f>IF(Input!M92="Tier 4",($B$7-AE17-AE18-AE19),IF(Input!M92="Tier 5",IF(('Residential Bills_Yr 2_6 Units'!$B$7-'Residential Bills_Yr 2_6 Units'!AE17-'Residential Bills_Yr 2_6 Units'!AE18-'Residential Bills_Yr 2_6 Units'!AE19)&gt;Input!M97,Input!M97,('Residential Bills_Yr 2_6 Units'!$B$7-'Residential Bills_Yr 2_6 Units'!AE17-'Residential Bills_Yr 2_6 Units'!AE18-'Residential Bills_Yr 2_6 Units'!AE19))," "))</f>
        <v xml:space="preserve"> </v>
      </c>
      <c r="AF20" s="25" t="str">
        <f t="shared" ref="AF20:AF21" si="7">IFERROR(AD20*AE20," ")</f>
        <v xml:space="preserve"> </v>
      </c>
      <c r="AH20" s="23">
        <f>INDEX(Input!$C$21:$AL$25,MATCH('Residential Bills_Yr 2_6 Units'!$A20,Input!$A$21:$A$25,0),MATCH('Residential Bills_Yr 2_6 Units'!AH$13,Input!$C$20:$AL$20,0))</f>
        <v>0</v>
      </c>
      <c r="AI20" s="24" t="str">
        <f>IF(Input!N92="Tier 4",($B$7-AI17-AI18-AI19),IF(Input!N92="Tier 5",IF(('Residential Bills_Yr 2_6 Units'!$B$7-'Residential Bills_Yr 2_6 Units'!AI17-'Residential Bills_Yr 2_6 Units'!AI18-'Residential Bills_Yr 2_6 Units'!AI19)&gt;Input!N97,Input!N97,('Residential Bills_Yr 2_6 Units'!$B$7-'Residential Bills_Yr 2_6 Units'!AI17-'Residential Bills_Yr 2_6 Units'!AI18-'Residential Bills_Yr 2_6 Units'!AI19))," "))</f>
        <v xml:space="preserve"> </v>
      </c>
      <c r="AJ20" s="25" t="str">
        <f t="shared" ref="AJ20:AJ21" si="8">IFERROR(AH20*AI20," ")</f>
        <v xml:space="preserve"> </v>
      </c>
      <c r="AL20" s="23">
        <f>INDEX(Input!$C$21:$AL$25,MATCH('Residential Bills_Yr 2_6 Units'!$A20,Input!$A$21:$A$25,0),MATCH('Residential Bills_Yr 2_6 Units'!AL$13,Input!$C$20:$AL$20,0))</f>
        <v>0</v>
      </c>
      <c r="AM20" s="24" t="str">
        <f>IF(Input!O92="Tier 4",($B$7-AM17-AM18-AM19),IF(Input!O92="Tier 5",IF(('Residential Bills_Yr 2_6 Units'!$B$7-'Residential Bills_Yr 2_6 Units'!AM17-'Residential Bills_Yr 2_6 Units'!AM18-'Residential Bills_Yr 2_6 Units'!AM19)&gt;Input!O97,Input!O97,('Residential Bills_Yr 2_6 Units'!$B$7-'Residential Bills_Yr 2_6 Units'!AM17-'Residential Bills_Yr 2_6 Units'!AM18-'Residential Bills_Yr 2_6 Units'!AM19))," "))</f>
        <v xml:space="preserve"> </v>
      </c>
      <c r="AN20" s="25" t="str">
        <f t="shared" ref="AN20:AN21" si="9">IFERROR(AL20*AM20," ")</f>
        <v xml:space="preserve"> </v>
      </c>
      <c r="AP20" s="23">
        <f>INDEX(Input!$C$21:$AL$25,MATCH('Residential Bills_Yr 2_6 Units'!$A20,Input!$A$21:$A$25,0),MATCH('Residential Bills_Yr 2_6 Units'!AP$13,Input!$C$20:$AL$20,0))</f>
        <v>0</v>
      </c>
      <c r="AQ20" s="24" t="str">
        <f>IF(Input!P92="Tier 4",($B$7-AQ17-AQ18-AQ19),IF(Input!P92="Tier 5",IF(('Residential Bills_Yr 2_6 Units'!$B$7-'Residential Bills_Yr 2_6 Units'!AQ17-'Residential Bills_Yr 2_6 Units'!AQ18-'Residential Bills_Yr 2_6 Units'!AQ19)&gt;Input!P97,Input!P97,('Residential Bills_Yr 2_6 Units'!$B$7-'Residential Bills_Yr 2_6 Units'!AQ17-'Residential Bills_Yr 2_6 Units'!AQ18-'Residential Bills_Yr 2_6 Units'!AQ19))," "))</f>
        <v xml:space="preserve"> </v>
      </c>
      <c r="AR20" s="25" t="str">
        <f t="shared" ref="AR20:AR21" si="10">IFERROR(AP20*AQ20," ")</f>
        <v xml:space="preserve"> </v>
      </c>
      <c r="AS20" s="30"/>
      <c r="AT20" s="23">
        <f>INDEX(Input!$C$21:$AL$25,MATCH('Residential Bills_Yr 2_6 Units'!$A20,Input!$A$21:$A$25,0),MATCH('Residential Bills_Yr 2_6 Units'!AT$13,Input!$C$20:$AL$20,0))</f>
        <v>0</v>
      </c>
      <c r="AU20" s="24" t="str">
        <f>IF(Input!Q92="Tier 4",($B$7-AU17-AU18-AU19),IF(Input!Q92="Tier 5",IF(('Residential Bills_Yr 2_6 Units'!$B$7-'Residential Bills_Yr 2_6 Units'!AU17-'Residential Bills_Yr 2_6 Units'!AU18-'Residential Bills_Yr 2_6 Units'!AU19)&gt;Input!Q97,Input!Q97,('Residential Bills_Yr 2_6 Units'!$B$7-'Residential Bills_Yr 2_6 Units'!AU17-'Residential Bills_Yr 2_6 Units'!AU18-'Residential Bills_Yr 2_6 Units'!AU19))," "))</f>
        <v xml:space="preserve"> </v>
      </c>
      <c r="AV20" s="25" t="str">
        <f t="shared" ref="AV20:AV21" si="11">IFERROR(AT20*AU20," ")</f>
        <v xml:space="preserve"> </v>
      </c>
    </row>
    <row r="21" spans="1:48" ht="14.5" hidden="1" customHeight="1" x14ac:dyDescent="0.55000000000000004">
      <c r="A21" t="str">
        <f>Input!A25</f>
        <v>Tier 5</v>
      </c>
      <c r="B21" s="23">
        <f>INDEX(Input!$C$21:$AL$25,MATCH('Residential Bills_Yr 2_6 Units'!$A21,Input!$A$21:$A$25,0),MATCH('Residential Bills_Yr 2_6 Units'!B$13,Input!$C$20:$AL$20,0))</f>
        <v>0</v>
      </c>
      <c r="C21" s="24" t="str">
        <f>IF(Input!F92="Tier 5",('Residential Bills_Yr 2_6 Units'!$B$7-'Residential Bills_Yr 2_6 Units'!C17-'Residential Bills_Yr 2_6 Units'!C18-'Residential Bills_Yr 2_6 Units'!C19-'Residential Bills_Yr 2_6 Units'!C20)," ")</f>
        <v xml:space="preserve"> </v>
      </c>
      <c r="D21" s="25" t="str">
        <f t="shared" si="0"/>
        <v xml:space="preserve"> </v>
      </c>
      <c r="F21" s="23">
        <f>INDEX(Input!$C$21:$AL$25,MATCH('Residential Bills_Yr 2_6 Units'!$A21,Input!$A$21:$A$25,0),MATCH('Residential Bills_Yr 2_6 Units'!F$13,Input!$C$20:$AL$20,0))</f>
        <v>0</v>
      </c>
      <c r="G21" s="24" t="str">
        <f>IF(Input!G92="Tier 5",('Residential Bills_Yr 2_6 Units'!$B$7-'Residential Bills_Yr 2_6 Units'!G17-'Residential Bills_Yr 2_6 Units'!G18-'Residential Bills_Yr 2_6 Units'!G19-'Residential Bills_Yr 2_6 Units'!G20)," ")</f>
        <v xml:space="preserve"> </v>
      </c>
      <c r="H21" s="25" t="str">
        <f t="shared" si="1"/>
        <v xml:space="preserve"> </v>
      </c>
      <c r="J21" s="23">
        <f>INDEX(Input!$C$21:$AL$25,MATCH('Residential Bills_Yr 2_6 Units'!$A21,Input!$A$21:$A$25,0),MATCH('Residential Bills_Yr 2_6 Units'!J$13,Input!$C$20:$AL$20,0))</f>
        <v>0</v>
      </c>
      <c r="K21" s="24" t="str">
        <f>IF(Input!H92="Tier 5",('Residential Bills_Yr 2_6 Units'!$B$7-'Residential Bills_Yr 2_6 Units'!K$17-'Residential Bills_Yr 2_6 Units'!K$18-'Residential Bills_Yr 2_6 Units'!K$19-'Residential Bills_Yr 2_6 Units'!K$20)," ")</f>
        <v xml:space="preserve"> </v>
      </c>
      <c r="L21" s="25" t="str">
        <f t="shared" si="2"/>
        <v xml:space="preserve"> </v>
      </c>
      <c r="N21" s="23">
        <f>INDEX(Input!$C$21:$AL$25,MATCH('Residential Bills_Yr 2_6 Units'!$A21,Input!$A$21:$A$25,0),MATCH('Residential Bills_Yr 2_6 Units'!N$13,Input!$C$20:$AL$20,0))</f>
        <v>0</v>
      </c>
      <c r="O21" s="24" t="str">
        <f>IF(Input!I92="Tier 5",('Residential Bills_Yr 2_6 Units'!$B$7-'Residential Bills_Yr 2_6 Units'!O$17-'Residential Bills_Yr 2_6 Units'!O$18-'Residential Bills_Yr 2_6 Units'!O$19-'Residential Bills_Yr 2_6 Units'!O$20)," ")</f>
        <v xml:space="preserve"> </v>
      </c>
      <c r="P21" s="25" t="str">
        <f t="shared" si="3"/>
        <v xml:space="preserve"> </v>
      </c>
      <c r="R21" s="23">
        <f>INDEX(Input!$C$21:$AL$25,MATCH('Residential Bills_Yr 2_6 Units'!$A21,Input!$A$21:$A$25,0),MATCH('Residential Bills_Yr 2_6 Units'!R$13,Input!$C$20:$AL$20,0))</f>
        <v>0</v>
      </c>
      <c r="S21" s="24" t="str">
        <f>IF(Input!J92="Tier 5",('Residential Bills_Yr 2_6 Units'!$B$7-'Residential Bills_Yr 2_6 Units'!S$17-'Residential Bills_Yr 2_6 Units'!S$18-'Residential Bills_Yr 2_6 Units'!S$19-'Residential Bills_Yr 2_6 Units'!S$20)," ")</f>
        <v xml:space="preserve"> </v>
      </c>
      <c r="T21" s="25" t="str">
        <f t="shared" si="4"/>
        <v xml:space="preserve"> </v>
      </c>
      <c r="V21" s="23">
        <f>INDEX(Input!$C$21:$AL$25,MATCH('Residential Bills_Yr 2_6 Units'!$A21,Input!$A$21:$A$25,0),MATCH('Residential Bills_Yr 2_6 Units'!V$13,Input!$C$20:$AL$20,0))</f>
        <v>0</v>
      </c>
      <c r="W21" s="24" t="str">
        <f>IF(Input!K92="Tier 5",('Residential Bills_Yr 2_6 Units'!$B$7-'Residential Bills_Yr 2_6 Units'!W$17-'Residential Bills_Yr 2_6 Units'!W$18-'Residential Bills_Yr 2_6 Units'!W$19-'Residential Bills_Yr 2_6 Units'!W$20)," ")</f>
        <v xml:space="preserve"> </v>
      </c>
      <c r="X21" s="25" t="str">
        <f t="shared" si="5"/>
        <v xml:space="preserve"> </v>
      </c>
      <c r="Z21" s="23">
        <f>INDEX(Input!$C$21:$AL$25,MATCH('Residential Bills_Yr 2_6 Units'!$A21,Input!$A$21:$A$25,0),MATCH('Residential Bills_Yr 2_6 Units'!Z$13,Input!$C$20:$AL$20,0))</f>
        <v>0</v>
      </c>
      <c r="AA21" s="24" t="str">
        <f>IF(Input!L92="Tier 5",('Residential Bills_Yr 2_6 Units'!$B$7-'Residential Bills_Yr 2_6 Units'!AA$17-'Residential Bills_Yr 2_6 Units'!AA$18-'Residential Bills_Yr 2_6 Units'!AA$19-'Residential Bills_Yr 2_6 Units'!AA$20)," ")</f>
        <v xml:space="preserve"> </v>
      </c>
      <c r="AB21" s="25" t="str">
        <f t="shared" si="6"/>
        <v xml:space="preserve"> </v>
      </c>
      <c r="AD21" s="23">
        <f>INDEX(Input!$C$21:$AL$25,MATCH('Residential Bills_Yr 2_6 Units'!$A21,Input!$A$21:$A$25,0),MATCH('Residential Bills_Yr 2_6 Units'!AD$13,Input!$C$20:$AL$20,0))</f>
        <v>0</v>
      </c>
      <c r="AE21" s="24" t="str">
        <f>IF(Input!M92="Tier 5",('Residential Bills_Yr 2_6 Units'!$B$7-'Residential Bills_Yr 2_6 Units'!AE$17-'Residential Bills_Yr 2_6 Units'!AE$18-'Residential Bills_Yr 2_6 Units'!AE$19-'Residential Bills_Yr 2_6 Units'!AE$20)," ")</f>
        <v xml:space="preserve"> </v>
      </c>
      <c r="AF21" s="25" t="str">
        <f t="shared" si="7"/>
        <v xml:space="preserve"> </v>
      </c>
      <c r="AH21" s="23">
        <f>INDEX(Input!$C$21:$AL$25,MATCH('Residential Bills_Yr 2_6 Units'!$A21,Input!$A$21:$A$25,0),MATCH('Residential Bills_Yr 2_6 Units'!AH$13,Input!$C$20:$AL$20,0))</f>
        <v>0</v>
      </c>
      <c r="AI21" s="24" t="str">
        <f>IF(Input!N92="Tier 5",('Residential Bills_Yr 2_6 Units'!$B$7-'Residential Bills_Yr 2_6 Units'!AI$17-'Residential Bills_Yr 2_6 Units'!AI$18-'Residential Bills_Yr 2_6 Units'!AI$19-'Residential Bills_Yr 2_6 Units'!AI$20)," ")</f>
        <v xml:space="preserve"> </v>
      </c>
      <c r="AJ21" s="25" t="str">
        <f t="shared" si="8"/>
        <v xml:space="preserve"> </v>
      </c>
      <c r="AL21" s="23">
        <f>INDEX(Input!$C$21:$AL$25,MATCH('Residential Bills_Yr 2_6 Units'!$A21,Input!$A$21:$A$25,0),MATCH('Residential Bills_Yr 2_6 Units'!AL$13,Input!$C$20:$AL$20,0))</f>
        <v>0</v>
      </c>
      <c r="AM21" s="24" t="str">
        <f>IF(Input!O92="Tier 5",('Residential Bills_Yr 2_6 Units'!$B$7-'Residential Bills_Yr 2_6 Units'!AM$17-'Residential Bills_Yr 2_6 Units'!AM$18-'Residential Bills_Yr 2_6 Units'!AM$19-'Residential Bills_Yr 2_6 Units'!AM$20)," ")</f>
        <v xml:space="preserve"> </v>
      </c>
      <c r="AN21" s="25" t="str">
        <f t="shared" si="9"/>
        <v xml:space="preserve"> </v>
      </c>
      <c r="AP21" s="23">
        <f>INDEX(Input!$C$21:$AL$25,MATCH('Residential Bills_Yr 2_6 Units'!$A21,Input!$A$21:$A$25,0),MATCH('Residential Bills_Yr 2_6 Units'!AP$13,Input!$C$20:$AL$20,0))</f>
        <v>0</v>
      </c>
      <c r="AQ21" s="24" t="str">
        <f>IF(Input!P92="Tier 5",('Residential Bills_Yr 2_6 Units'!$B$7-'Residential Bills_Yr 2_6 Units'!AQ$17-'Residential Bills_Yr 2_6 Units'!AQ$18-'Residential Bills_Yr 2_6 Units'!AQ$19-'Residential Bills_Yr 2_6 Units'!AQ$20)," ")</f>
        <v xml:space="preserve"> </v>
      </c>
      <c r="AR21" s="25" t="str">
        <f t="shared" si="10"/>
        <v xml:space="preserve"> </v>
      </c>
      <c r="AS21" s="30"/>
      <c r="AT21" s="23">
        <f>INDEX(Input!$C$21:$AL$25,MATCH('Residential Bills_Yr 2_6 Units'!$A21,Input!$A$21:$A$25,0),MATCH('Residential Bills_Yr 2_6 Units'!AT$13,Input!$C$20:$AL$20,0))</f>
        <v>0</v>
      </c>
      <c r="AU21" s="24" t="str">
        <f>IF(Input!Q92="Tier 5",('Residential Bills_Yr 2_6 Units'!$B$7-'Residential Bills_Yr 2_6 Units'!AU$17-'Residential Bills_Yr 2_6 Units'!AU$18-'Residential Bills_Yr 2_6 Units'!AU$19-'Residential Bills_Yr 2_6 Units'!AU$20)," ")</f>
        <v xml:space="preserve"> </v>
      </c>
      <c r="AV21" s="25" t="str">
        <f t="shared" si="11"/>
        <v xml:space="preserve"> </v>
      </c>
    </row>
    <row r="22" spans="1:48" x14ac:dyDescent="0.55000000000000004">
      <c r="A22" t="s">
        <v>39</v>
      </c>
      <c r="B22" s="16"/>
      <c r="C22" s="24">
        <f>SUM(C17:C21)</f>
        <v>6</v>
      </c>
      <c r="D22" s="26">
        <f>SUM(D17:D21)+D14</f>
        <v>77.900000000000006</v>
      </c>
      <c r="F22" s="16"/>
      <c r="G22" s="24">
        <f>SUM(G17:G21)</f>
        <v>6</v>
      </c>
      <c r="H22" s="26">
        <f>SUM(H17:H21)+H14</f>
        <v>77.900000000000006</v>
      </c>
      <c r="J22" s="16"/>
      <c r="K22" s="24">
        <f>SUM(K17:K21)</f>
        <v>6</v>
      </c>
      <c r="L22" s="26">
        <f>SUM(L17:L21)+L14</f>
        <v>77.900000000000006</v>
      </c>
      <c r="N22" s="16"/>
      <c r="O22" s="24">
        <f>SUM(O17:O21)</f>
        <v>6</v>
      </c>
      <c r="P22" s="26">
        <f>SUM(P17:P21)+P14</f>
        <v>77.900000000000006</v>
      </c>
      <c r="R22" s="16"/>
      <c r="S22" s="24">
        <f>SUM(S17:S21)</f>
        <v>6</v>
      </c>
      <c r="T22" s="26">
        <f>SUM(T17:T21)+T14</f>
        <v>77.900000000000006</v>
      </c>
      <c r="V22" s="16"/>
      <c r="W22" s="24">
        <f>SUM(W17:W21)</f>
        <v>6</v>
      </c>
      <c r="X22" s="26">
        <f>SUM(X17:X21)+X14</f>
        <v>77.900000000000006</v>
      </c>
      <c r="Z22" s="16"/>
      <c r="AA22" s="24">
        <f>SUM(AA17:AA21)</f>
        <v>6</v>
      </c>
      <c r="AB22" s="26">
        <f>SUM(AB17:AB21)+AB14</f>
        <v>77.900000000000006</v>
      </c>
      <c r="AD22" s="16"/>
      <c r="AE22" s="24">
        <f>SUM(AE17:AE21)</f>
        <v>6</v>
      </c>
      <c r="AF22" s="26">
        <f>SUM(AF17:AF21)+AF14</f>
        <v>77.900000000000006</v>
      </c>
      <c r="AH22" s="16"/>
      <c r="AI22" s="24">
        <f>SUM(AI17:AI21)</f>
        <v>6</v>
      </c>
      <c r="AJ22" s="26">
        <f>SUM(AJ17:AJ21)+AJ14</f>
        <v>77.900000000000006</v>
      </c>
      <c r="AL22" s="16"/>
      <c r="AM22" s="24">
        <f>SUM(AM17:AM21)</f>
        <v>6</v>
      </c>
      <c r="AN22" s="26">
        <f>SUM(AN17:AN21)+AN14</f>
        <v>77.900000000000006</v>
      </c>
      <c r="AP22" s="16"/>
      <c r="AQ22" s="24">
        <f>SUM(AQ17:AQ21)</f>
        <v>6</v>
      </c>
      <c r="AR22" s="26">
        <f>SUM(AR17:AR21)+AR14</f>
        <v>77.900000000000006</v>
      </c>
      <c r="AS22" s="64"/>
      <c r="AT22" s="16"/>
      <c r="AU22" s="24">
        <f>SUM(AU17:AU21)</f>
        <v>6</v>
      </c>
      <c r="AV22" s="26">
        <f>SUM(AV17:AV21)+AV14</f>
        <v>77.900000000000006</v>
      </c>
    </row>
    <row r="23" spans="1:48" x14ac:dyDescent="0.55000000000000004">
      <c r="B23" s="16"/>
      <c r="C23" s="17"/>
      <c r="D23" s="19"/>
      <c r="F23" s="16"/>
      <c r="G23" s="17"/>
      <c r="H23" s="19"/>
      <c r="J23" s="16"/>
      <c r="K23" s="17"/>
      <c r="L23" s="19"/>
      <c r="N23" s="16"/>
      <c r="O23" s="17"/>
      <c r="P23" s="19"/>
      <c r="R23" s="16"/>
      <c r="S23" s="17"/>
      <c r="T23" s="19"/>
      <c r="V23" s="16"/>
      <c r="W23" s="17"/>
      <c r="X23" s="19"/>
      <c r="Z23" s="16"/>
      <c r="AA23" s="17"/>
      <c r="AB23" s="19"/>
      <c r="AD23" s="16"/>
      <c r="AE23" s="17"/>
      <c r="AF23" s="19"/>
      <c r="AH23" s="16"/>
      <c r="AI23" s="17"/>
      <c r="AJ23" s="19"/>
      <c r="AL23" s="16"/>
      <c r="AM23" s="17"/>
      <c r="AN23" s="19"/>
      <c r="AP23" s="16"/>
      <c r="AQ23" s="17"/>
      <c r="AR23" s="19"/>
      <c r="AS23" s="17"/>
      <c r="AT23" s="16"/>
      <c r="AU23" s="17"/>
      <c r="AV23" s="19"/>
    </row>
    <row r="24" spans="1:48" x14ac:dyDescent="0.55000000000000004">
      <c r="A24" s="1" t="s">
        <v>34</v>
      </c>
      <c r="B24" s="20" t="s">
        <v>29</v>
      </c>
      <c r="C24" s="21" t="s">
        <v>44</v>
      </c>
      <c r="D24" s="22" t="s">
        <v>30</v>
      </c>
      <c r="F24" s="20" t="s">
        <v>29</v>
      </c>
      <c r="G24" s="21" t="s">
        <v>44</v>
      </c>
      <c r="H24" s="111" t="s">
        <v>30</v>
      </c>
      <c r="J24" s="20" t="s">
        <v>29</v>
      </c>
      <c r="K24" s="21" t="s">
        <v>44</v>
      </c>
      <c r="L24" s="111" t="s">
        <v>30</v>
      </c>
      <c r="N24" s="20" t="s">
        <v>29</v>
      </c>
      <c r="O24" s="21" t="s">
        <v>44</v>
      </c>
      <c r="P24" s="111" t="s">
        <v>30</v>
      </c>
      <c r="R24" s="20" t="s">
        <v>29</v>
      </c>
      <c r="S24" s="21" t="s">
        <v>44</v>
      </c>
      <c r="T24" s="111" t="s">
        <v>30</v>
      </c>
      <c r="V24" s="20" t="s">
        <v>29</v>
      </c>
      <c r="W24" s="21" t="s">
        <v>44</v>
      </c>
      <c r="X24" s="111" t="s">
        <v>30</v>
      </c>
      <c r="Z24" s="20" t="s">
        <v>29</v>
      </c>
      <c r="AA24" s="21" t="s">
        <v>44</v>
      </c>
      <c r="AB24" s="111" t="s">
        <v>30</v>
      </c>
      <c r="AD24" s="20" t="s">
        <v>29</v>
      </c>
      <c r="AE24" s="21" t="s">
        <v>44</v>
      </c>
      <c r="AF24" s="111" t="s">
        <v>30</v>
      </c>
      <c r="AH24" s="20" t="s">
        <v>29</v>
      </c>
      <c r="AI24" s="21" t="s">
        <v>44</v>
      </c>
      <c r="AJ24" s="111" t="s">
        <v>30</v>
      </c>
      <c r="AL24" s="20" t="s">
        <v>29</v>
      </c>
      <c r="AM24" s="21" t="s">
        <v>44</v>
      </c>
      <c r="AN24" s="111" t="s">
        <v>30</v>
      </c>
      <c r="AP24" s="20" t="s">
        <v>29</v>
      </c>
      <c r="AQ24" s="21" t="s">
        <v>44</v>
      </c>
      <c r="AR24" s="111" t="s">
        <v>30</v>
      </c>
      <c r="AS24" s="170"/>
      <c r="AT24" s="20" t="s">
        <v>29</v>
      </c>
      <c r="AU24" s="21" t="s">
        <v>44</v>
      </c>
      <c r="AV24" s="111" t="s">
        <v>30</v>
      </c>
    </row>
    <row r="25" spans="1:48" x14ac:dyDescent="0.55000000000000004">
      <c r="A25" t="str">
        <f>IF($B$9="No",Input!A46,"CAP Discount")</f>
        <v>SRF 1</v>
      </c>
      <c r="B25" s="173">
        <f>INDEX(Input!$C$46:$AM$58,MATCH($A25,Input!$A$46:$A$58,0),MATCH(B$13,Input!$C$45:$AM$45,0))</f>
        <v>0.04</v>
      </c>
      <c r="C25" s="31" t="str">
        <f>IF(VLOOKUP($A25,Input!$A$46:$B$58,2,FALSE)="Percentage",D$22,IF(VLOOKUP($A25,Input!$A$46:$B$58,2,FALSE)="Fixed","Fixed",(C$22)))</f>
        <v>Fixed</v>
      </c>
      <c r="D25" s="25">
        <f t="shared" ref="D25:D37" si="12">ROUND(IF(C25="Fixed",B25,(B25*C25)),2)</f>
        <v>0.04</v>
      </c>
      <c r="F25" s="173">
        <f>INDEX(Input!$C$46:$AM$58,MATCH($A25,Input!$A$46:$A$58,0),MATCH(F$13,Input!$C$45:$AM$45,0))</f>
        <v>0.04</v>
      </c>
      <c r="G25" s="31" t="str">
        <f>IF(VLOOKUP($A25,Input!$A$46:$B$58,2,FALSE)="Percentage",H$22,IF(VLOOKUP($A25,Input!$A$46:$B$58,2,FALSE)="Fixed","Fixed",(G$22)))</f>
        <v>Fixed</v>
      </c>
      <c r="H25" s="25">
        <f t="shared" ref="H25:H37" si="13">ROUND(IF(G25="Fixed",F25,(F25*G25)),2)</f>
        <v>0.04</v>
      </c>
      <c r="J25" s="173">
        <f>INDEX(Input!$C$46:$AM$58,MATCH($A25,Input!$A$46:$A$58,0),MATCH(J$13,Input!$C$45:$AM$45,0))</f>
        <v>0.04</v>
      </c>
      <c r="K25" s="31" t="str">
        <f>IF(VLOOKUP($A25,Input!$A$46:$B$58,2,FALSE)="Percentage",L$22,IF(VLOOKUP($A25,Input!$A$46:$B$58,2,FALSE)="Fixed","Fixed",(K$22)))</f>
        <v>Fixed</v>
      </c>
      <c r="L25" s="25">
        <f t="shared" ref="L25:L37" si="14">ROUND(IF(K25="Fixed",J25,(J25*K25)),2)</f>
        <v>0.04</v>
      </c>
      <c r="N25" s="173">
        <f>INDEX(Input!$C$46:$AM$58,MATCH($A25,Input!$A$46:$A$58,0),MATCH(N$13,Input!$C$45:$AM$45,0))</f>
        <v>0.04</v>
      </c>
      <c r="O25" s="31" t="str">
        <f>IF(VLOOKUP($A25,Input!$A$46:$B$58,2,FALSE)="Percentage",P$22,IF(VLOOKUP($A25,Input!$A$46:$B$58,2,FALSE)="Fixed","Fixed",(O$22)))</f>
        <v>Fixed</v>
      </c>
      <c r="P25" s="25">
        <f t="shared" ref="P25:P37" si="15">ROUND(IF(O25="Fixed",N25,(N25*O25)),2)</f>
        <v>0.04</v>
      </c>
      <c r="R25" s="173">
        <f>INDEX(Input!$C$46:$AM$58,MATCH($A25,Input!$A$46:$A$58,0),MATCH(R$13,Input!$C$45:$AM$45,0))</f>
        <v>0.04</v>
      </c>
      <c r="S25" s="31" t="str">
        <f>IF(VLOOKUP($A25,Input!$A$46:$B$58,2,FALSE)="Percentage",T$22,IF(VLOOKUP($A25,Input!$A$46:$B$58,2,FALSE)="Fixed","Fixed",(S$22)))</f>
        <v>Fixed</v>
      </c>
      <c r="T25" s="25">
        <f t="shared" ref="T25:T37" si="16">ROUND(IF(S25="Fixed",R25,(R25*S25)),2)</f>
        <v>0.04</v>
      </c>
      <c r="V25" s="173">
        <f>INDEX(Input!$C$46:$AM$58,MATCH($A25,Input!$A$46:$A$58,0),MATCH(V$13,Input!$C$45:$AM$45,0))</f>
        <v>0.04</v>
      </c>
      <c r="W25" s="31" t="str">
        <f>IF(VLOOKUP($A25,Input!$A$46:$B$58,2,FALSE)="Percentage",X$22,IF(VLOOKUP($A25,Input!$A$46:$B$58,2,FALSE)="Fixed","Fixed",(W$22)))</f>
        <v>Fixed</v>
      </c>
      <c r="X25" s="25">
        <f t="shared" ref="X25:X37" si="17">ROUND(IF(W25="Fixed",V25,(V25*W25)),2)</f>
        <v>0.04</v>
      </c>
      <c r="Z25" s="173">
        <f>INDEX(Input!$C$46:$AM$58,MATCH($A25,Input!$A$46:$A$58,0),MATCH(Z$13,Input!$C$45:$AM$45,0))</f>
        <v>0.04</v>
      </c>
      <c r="AA25" s="31" t="str">
        <f>IF(VLOOKUP($A25,Input!$A$46:$B$58,2,FALSE)="Percentage",AB$22,IF(VLOOKUP($A25,Input!$A$46:$B$58,2,FALSE)="Fixed","Fixed",(AA$22)))</f>
        <v>Fixed</v>
      </c>
      <c r="AB25" s="25">
        <f t="shared" ref="AB25:AB37" si="18">ROUND(IF(AA25="Fixed",Z25,(Z25*AA25)),2)</f>
        <v>0.04</v>
      </c>
      <c r="AD25" s="173">
        <f>INDEX(Input!$C$46:$AM$58,MATCH($A25,Input!$A$46:$A$58,0),MATCH(AD$13,Input!$C$45:$AM$45,0))</f>
        <v>0.04</v>
      </c>
      <c r="AE25" s="31" t="str">
        <f>IF(VLOOKUP($A25,Input!$A$46:$B$58,2,FALSE)="Percentage",AF$22,IF(VLOOKUP($A25,Input!$A$46:$B$58,2,FALSE)="Fixed","Fixed",(AE$22)))</f>
        <v>Fixed</v>
      </c>
      <c r="AF25" s="25">
        <f t="shared" ref="AF25:AF37" si="19">ROUND(IF(AE25="Fixed",AD25,(AD25*AE25)),2)</f>
        <v>0.04</v>
      </c>
      <c r="AH25" s="173">
        <f>INDEX(Input!$C$46:$AM$58,MATCH($A25,Input!$A$46:$A$58,0),MATCH(AH$13,Input!$C$45:$AM$45,0))</f>
        <v>0.04</v>
      </c>
      <c r="AI25" s="31" t="str">
        <f>IF(VLOOKUP($A25,Input!$A$46:$B$58,2,FALSE)="Percentage",AJ$22,IF(VLOOKUP($A25,Input!$A$46:$B$58,2,FALSE)="Fixed","Fixed",(AI$22)))</f>
        <v>Fixed</v>
      </c>
      <c r="AJ25" s="25">
        <f t="shared" ref="AJ25:AJ37" si="20">ROUND(IF(AI25="Fixed",AH25,(AH25*AI25)),2)</f>
        <v>0.04</v>
      </c>
      <c r="AL25" s="173">
        <f>INDEX(Input!$C$46:$AM$58,MATCH($A25,Input!$A$46:$A$58,0),MATCH(AL$13,Input!$C$45:$AM$45,0))</f>
        <v>0.04</v>
      </c>
      <c r="AM25" s="31" t="str">
        <f>IF(VLOOKUP($A25,Input!$A$46:$B$58,2,FALSE)="Percentage",AN$22,IF(VLOOKUP($A25,Input!$A$46:$B$58,2,FALSE)="Fixed","Fixed",(AM$22)))</f>
        <v>Fixed</v>
      </c>
      <c r="AN25" s="25">
        <f t="shared" ref="AN25:AN37" si="21">ROUND(IF(AM25="Fixed",AL25,(AL25*AM25)),2)</f>
        <v>0.04</v>
      </c>
      <c r="AP25" s="173">
        <f>INDEX(Input!$C$46:$AM$58,MATCH($A25,Input!$A$46:$A$58,0),MATCH(AP$13,Input!$C$45:$AM$45,0))</f>
        <v>0.04</v>
      </c>
      <c r="AQ25" s="31" t="str">
        <f>IF(VLOOKUP($A25,Input!$A$46:$B$58,2,FALSE)="Percentage",AR$22,IF(VLOOKUP($A25,Input!$A$46:$B$58,2,FALSE)="Fixed","Fixed",(AQ$22)))</f>
        <v>Fixed</v>
      </c>
      <c r="AR25" s="25">
        <f t="shared" ref="AR25:AR37" si="22">ROUND(IF(AQ25="Fixed",AP25,(AP25*AQ25)),2)</f>
        <v>0.04</v>
      </c>
      <c r="AS25" s="30"/>
      <c r="AT25" s="173">
        <f>INDEX(Input!$C$46:$AM$58,MATCH($A25,Input!$A$46:$A$58,0),MATCH(AT$13,Input!$C$45:$AM$45,0))</f>
        <v>0.04</v>
      </c>
      <c r="AU25" s="31" t="str">
        <f>IF(VLOOKUP($A25,Input!$A$46:$B$58,2,FALSE)="Percentage",AV$22,IF(VLOOKUP($A25,Input!$A$46:$B$58,2,FALSE)="Fixed","Fixed",(AU$22)))</f>
        <v>Fixed</v>
      </c>
      <c r="AV25" s="25">
        <f t="shared" ref="AV25:AV37" si="23">ROUND(IF(AU25="Fixed",AT25,(AT25*AU25)),2)</f>
        <v>0.04</v>
      </c>
    </row>
    <row r="26" spans="1:48" x14ac:dyDescent="0.55000000000000004">
      <c r="A26" t="str">
        <f>Input!A47</f>
        <v>SRF 2</v>
      </c>
      <c r="B26" s="173">
        <f>INDEX(Input!$C$46:$AM$58,MATCH($A26,Input!$A$46:$A$58,0),MATCH(B$13,Input!$C$45:$AM$45,0))</f>
        <v>0.02</v>
      </c>
      <c r="C26" s="31" t="str">
        <f>IF(VLOOKUP($A26,Input!$A$46:$B$58,2,FALSE)="Percentage",D$22,IF(VLOOKUP($A26,Input!$A$46:$B$58,2,FALSE)="Fixed","Fixed",(C$22)))</f>
        <v>Fixed</v>
      </c>
      <c r="D26" s="25">
        <f t="shared" si="12"/>
        <v>0.02</v>
      </c>
      <c r="F26" s="173">
        <f>INDEX(Input!$C$46:$AM$58,MATCH($A26,Input!$A$46:$A$58,0),MATCH(F$13,Input!$C$45:$AM$45,0))</f>
        <v>0.02</v>
      </c>
      <c r="G26" s="31" t="str">
        <f>IF(VLOOKUP($A26,Input!$A$46:$B$58,2,FALSE)="Percentage",H$22,IF(VLOOKUP($A26,Input!$A$46:$B$58,2,FALSE)="Fixed","Fixed",(G$22)))</f>
        <v>Fixed</v>
      </c>
      <c r="H26" s="25">
        <f t="shared" si="13"/>
        <v>0.02</v>
      </c>
      <c r="J26" s="173">
        <f>INDEX(Input!$C$46:$AM$58,MATCH($A26,Input!$A$46:$A$58,0),MATCH(J$13,Input!$C$45:$AM$45,0))</f>
        <v>0.02</v>
      </c>
      <c r="K26" s="31" t="str">
        <f>IF(VLOOKUP($A26,Input!$A$46:$B$58,2,FALSE)="Percentage",L$22,IF(VLOOKUP($A26,Input!$A$46:$B$58,2,FALSE)="Fixed","Fixed",(K$22)))</f>
        <v>Fixed</v>
      </c>
      <c r="L26" s="25">
        <f t="shared" si="14"/>
        <v>0.02</v>
      </c>
      <c r="N26" s="173">
        <f>INDEX(Input!$C$46:$AM$58,MATCH($A26,Input!$A$46:$A$58,0),MATCH(N$13,Input!$C$45:$AM$45,0))</f>
        <v>0.02</v>
      </c>
      <c r="O26" s="31" t="str">
        <f>IF(VLOOKUP($A26,Input!$A$46:$B$58,2,FALSE)="Percentage",P$22,IF(VLOOKUP($A26,Input!$A$46:$B$58,2,FALSE)="Fixed","Fixed",(O$22)))</f>
        <v>Fixed</v>
      </c>
      <c r="P26" s="25">
        <f t="shared" si="15"/>
        <v>0.02</v>
      </c>
      <c r="R26" s="173">
        <f>INDEX(Input!$C$46:$AM$58,MATCH($A26,Input!$A$46:$A$58,0),MATCH(R$13,Input!$C$45:$AM$45,0))</f>
        <v>0.02</v>
      </c>
      <c r="S26" s="31" t="str">
        <f>IF(VLOOKUP($A26,Input!$A$46:$B$58,2,FALSE)="Percentage",T$22,IF(VLOOKUP($A26,Input!$A$46:$B$58,2,FALSE)="Fixed","Fixed",(S$22)))</f>
        <v>Fixed</v>
      </c>
      <c r="T26" s="25">
        <f t="shared" si="16"/>
        <v>0.02</v>
      </c>
      <c r="V26" s="173">
        <f>INDEX(Input!$C$46:$AM$58,MATCH($A26,Input!$A$46:$A$58,0),MATCH(V$13,Input!$C$45:$AM$45,0))</f>
        <v>0.02</v>
      </c>
      <c r="W26" s="31" t="str">
        <f>IF(VLOOKUP($A26,Input!$A$46:$B$58,2,FALSE)="Percentage",X$22,IF(VLOOKUP($A26,Input!$A$46:$B$58,2,FALSE)="Fixed","Fixed",(W$22)))</f>
        <v>Fixed</v>
      </c>
      <c r="X26" s="25">
        <f t="shared" si="17"/>
        <v>0.02</v>
      </c>
      <c r="Z26" s="173">
        <f>INDEX(Input!$C$46:$AM$58,MATCH($A26,Input!$A$46:$A$58,0),MATCH(Z$13,Input!$C$45:$AM$45,0))</f>
        <v>0.02</v>
      </c>
      <c r="AA26" s="31" t="str">
        <f>IF(VLOOKUP($A26,Input!$A$46:$B$58,2,FALSE)="Percentage",AB$22,IF(VLOOKUP($A26,Input!$A$46:$B$58,2,FALSE)="Fixed","Fixed",(AA$22)))</f>
        <v>Fixed</v>
      </c>
      <c r="AB26" s="25">
        <f t="shared" si="18"/>
        <v>0.02</v>
      </c>
      <c r="AD26" s="173">
        <f>INDEX(Input!$C$46:$AM$58,MATCH($A26,Input!$A$46:$A$58,0),MATCH(AD$13,Input!$C$45:$AM$45,0))</f>
        <v>0.02</v>
      </c>
      <c r="AE26" s="31" t="str">
        <f>IF(VLOOKUP($A26,Input!$A$46:$B$58,2,FALSE)="Percentage",AF$22,IF(VLOOKUP($A26,Input!$A$46:$B$58,2,FALSE)="Fixed","Fixed",(AE$22)))</f>
        <v>Fixed</v>
      </c>
      <c r="AF26" s="25">
        <f t="shared" si="19"/>
        <v>0.02</v>
      </c>
      <c r="AH26" s="173">
        <f>INDEX(Input!$C$46:$AM$58,MATCH($A26,Input!$A$46:$A$58,0),MATCH(AH$13,Input!$C$45:$AM$45,0))</f>
        <v>0.02</v>
      </c>
      <c r="AI26" s="31" t="str">
        <f>IF(VLOOKUP($A26,Input!$A$46:$B$58,2,FALSE)="Percentage",AJ$22,IF(VLOOKUP($A26,Input!$A$46:$B$58,2,FALSE)="Fixed","Fixed",(AI$22)))</f>
        <v>Fixed</v>
      </c>
      <c r="AJ26" s="25">
        <f t="shared" si="20"/>
        <v>0.02</v>
      </c>
      <c r="AL26" s="173">
        <f>INDEX(Input!$C$46:$AM$58,MATCH($A26,Input!$A$46:$A$58,0),MATCH(AL$13,Input!$C$45:$AM$45,0))</f>
        <v>0.02</v>
      </c>
      <c r="AM26" s="31" t="str">
        <f>IF(VLOOKUP($A26,Input!$A$46:$B$58,2,FALSE)="Percentage",AN$22,IF(VLOOKUP($A26,Input!$A$46:$B$58,2,FALSE)="Fixed","Fixed",(AM$22)))</f>
        <v>Fixed</v>
      </c>
      <c r="AN26" s="25">
        <f t="shared" si="21"/>
        <v>0.02</v>
      </c>
      <c r="AP26" s="173">
        <f>INDEX(Input!$C$46:$AM$58,MATCH($A26,Input!$A$46:$A$58,0),MATCH(AP$13,Input!$C$45:$AM$45,0))</f>
        <v>0.02</v>
      </c>
      <c r="AQ26" s="31" t="str">
        <f>IF(VLOOKUP($A26,Input!$A$46:$B$58,2,FALSE)="Percentage",AR$22,IF(VLOOKUP($A26,Input!$A$46:$B$58,2,FALSE)="Fixed","Fixed",(AQ$22)))</f>
        <v>Fixed</v>
      </c>
      <c r="AR26" s="25">
        <f t="shared" si="22"/>
        <v>0.02</v>
      </c>
      <c r="AS26" s="30"/>
      <c r="AT26" s="173">
        <f>INDEX(Input!$C$46:$AM$58,MATCH($A26,Input!$A$46:$A$58,0),MATCH(AT$13,Input!$C$45:$AM$45,0))</f>
        <v>0.02</v>
      </c>
      <c r="AU26" s="31" t="str">
        <f>IF(VLOOKUP($A26,Input!$A$46:$B$58,2,FALSE)="Percentage",AV$22,IF(VLOOKUP($A26,Input!$A$46:$B$58,2,FALSE)="Fixed","Fixed",(AU$22)))</f>
        <v>Fixed</v>
      </c>
      <c r="AV26" s="25">
        <f t="shared" si="23"/>
        <v>0.02</v>
      </c>
    </row>
    <row r="27" spans="1:48" x14ac:dyDescent="0.55000000000000004">
      <c r="A27" t="str">
        <f>Input!A48</f>
        <v>WRAP</v>
      </c>
      <c r="B27" s="173">
        <f>INDEX(Input!$C$46:$AM$58,MATCH($A27,Input!$A$46:$A$58,0),MATCH(B$13,Input!$C$45:$AM$45,0))</f>
        <v>1.45</v>
      </c>
      <c r="C27" s="31" t="str">
        <f>IF(VLOOKUP($A27,Input!$A$46:$B$58,2,FALSE)="Percentage",D$22,IF(VLOOKUP($A27,Input!$A$46:$B$58,2,FALSE)="Fixed","Fixed",(C$22)))</f>
        <v>Fixed</v>
      </c>
      <c r="D27" s="25">
        <f t="shared" si="12"/>
        <v>1.45</v>
      </c>
      <c r="F27" s="173">
        <f>INDEX(Input!$C$46:$AM$58,MATCH($A27,Input!$A$46:$A$58,0),MATCH(F$13,Input!$C$45:$AM$45,0))</f>
        <v>1.45</v>
      </c>
      <c r="G27" s="31" t="str">
        <f>IF(VLOOKUP($A27,Input!$A$46:$B$58,2,FALSE)="Percentage",H$22,IF(VLOOKUP($A27,Input!$A$46:$B$58,2,FALSE)="Fixed","Fixed",(G$22)))</f>
        <v>Fixed</v>
      </c>
      <c r="H27" s="25">
        <f t="shared" si="13"/>
        <v>1.45</v>
      </c>
      <c r="J27" s="173">
        <f>INDEX(Input!$C$46:$AM$58,MATCH($A27,Input!$A$46:$A$58,0),MATCH(J$13,Input!$C$45:$AM$45,0))</f>
        <v>1.45</v>
      </c>
      <c r="K27" s="31" t="str">
        <f>IF(VLOOKUP($A27,Input!$A$46:$B$58,2,FALSE)="Percentage",L$22,IF(VLOOKUP($A27,Input!$A$46:$B$58,2,FALSE)="Fixed","Fixed",(K$22)))</f>
        <v>Fixed</v>
      </c>
      <c r="L27" s="25">
        <f t="shared" si="14"/>
        <v>1.45</v>
      </c>
      <c r="N27" s="173">
        <f>INDEX(Input!$C$46:$AM$58,MATCH($A27,Input!$A$46:$A$58,0),MATCH(N$13,Input!$C$45:$AM$45,0))</f>
        <v>1.45</v>
      </c>
      <c r="O27" s="31" t="str">
        <f>IF(VLOOKUP($A27,Input!$A$46:$B$58,2,FALSE)="Percentage",P$22,IF(VLOOKUP($A27,Input!$A$46:$B$58,2,FALSE)="Fixed","Fixed",(O$22)))</f>
        <v>Fixed</v>
      </c>
      <c r="P27" s="25">
        <f t="shared" si="15"/>
        <v>1.45</v>
      </c>
      <c r="R27" s="173">
        <f>INDEX(Input!$C$46:$AM$58,MATCH($A27,Input!$A$46:$A$58,0),MATCH(R$13,Input!$C$45:$AM$45,0))</f>
        <v>1.45</v>
      </c>
      <c r="S27" s="31" t="str">
        <f>IF(VLOOKUP($A27,Input!$A$46:$B$58,2,FALSE)="Percentage",T$22,IF(VLOOKUP($A27,Input!$A$46:$B$58,2,FALSE)="Fixed","Fixed",(S$22)))</f>
        <v>Fixed</v>
      </c>
      <c r="T27" s="25">
        <f t="shared" si="16"/>
        <v>1.45</v>
      </c>
      <c r="V27" s="173">
        <f>INDEX(Input!$C$46:$AM$58,MATCH($A27,Input!$A$46:$A$58,0),MATCH(V$13,Input!$C$45:$AM$45,0))</f>
        <v>1.45</v>
      </c>
      <c r="W27" s="31" t="str">
        <f>IF(VLOOKUP($A27,Input!$A$46:$B$58,2,FALSE)="Percentage",X$22,IF(VLOOKUP($A27,Input!$A$46:$B$58,2,FALSE)="Fixed","Fixed",(W$22)))</f>
        <v>Fixed</v>
      </c>
      <c r="X27" s="25">
        <f t="shared" si="17"/>
        <v>1.45</v>
      </c>
      <c r="Z27" s="173">
        <f>INDEX(Input!$C$46:$AM$58,MATCH($A27,Input!$A$46:$A$58,0),MATCH(Z$13,Input!$C$45:$AM$45,0))</f>
        <v>1.45</v>
      </c>
      <c r="AA27" s="31" t="str">
        <f>IF(VLOOKUP($A27,Input!$A$46:$B$58,2,FALSE)="Percentage",AB$22,IF(VLOOKUP($A27,Input!$A$46:$B$58,2,FALSE)="Fixed","Fixed",(AA$22)))</f>
        <v>Fixed</v>
      </c>
      <c r="AB27" s="25">
        <f t="shared" si="18"/>
        <v>1.45</v>
      </c>
      <c r="AD27" s="173">
        <f>INDEX(Input!$C$46:$AM$58,MATCH($A27,Input!$A$46:$A$58,0),MATCH(AD$13,Input!$C$45:$AM$45,0))</f>
        <v>1.45</v>
      </c>
      <c r="AE27" s="31" t="str">
        <f>IF(VLOOKUP($A27,Input!$A$46:$B$58,2,FALSE)="Percentage",AF$22,IF(VLOOKUP($A27,Input!$A$46:$B$58,2,FALSE)="Fixed","Fixed",(AE$22)))</f>
        <v>Fixed</v>
      </c>
      <c r="AF27" s="25">
        <f t="shared" si="19"/>
        <v>1.45</v>
      </c>
      <c r="AH27" s="173">
        <f>INDEX(Input!$C$46:$AM$58,MATCH($A27,Input!$A$46:$A$58,0),MATCH(AH$13,Input!$C$45:$AM$45,0))</f>
        <v>1.45</v>
      </c>
      <c r="AI27" s="31" t="str">
        <f>IF(VLOOKUP($A27,Input!$A$46:$B$58,2,FALSE)="Percentage",AJ$22,IF(VLOOKUP($A27,Input!$A$46:$B$58,2,FALSE)="Fixed","Fixed",(AI$22)))</f>
        <v>Fixed</v>
      </c>
      <c r="AJ27" s="25">
        <f t="shared" si="20"/>
        <v>1.45</v>
      </c>
      <c r="AL27" s="173">
        <f>INDEX(Input!$C$46:$AM$58,MATCH($A27,Input!$A$46:$A$58,0),MATCH(AL$13,Input!$C$45:$AM$45,0))</f>
        <v>1.45</v>
      </c>
      <c r="AM27" s="31" t="str">
        <f>IF(VLOOKUP($A27,Input!$A$46:$B$58,2,FALSE)="Percentage",AN$22,IF(VLOOKUP($A27,Input!$A$46:$B$58,2,FALSE)="Fixed","Fixed",(AM$22)))</f>
        <v>Fixed</v>
      </c>
      <c r="AN27" s="25">
        <f t="shared" si="21"/>
        <v>1.45</v>
      </c>
      <c r="AP27" s="173">
        <f>INDEX(Input!$C$46:$AM$58,MATCH($A27,Input!$A$46:$A$58,0),MATCH(AP$13,Input!$C$45:$AM$45,0))</f>
        <v>1.45</v>
      </c>
      <c r="AQ27" s="31" t="str">
        <f>IF(VLOOKUP($A27,Input!$A$46:$B$58,2,FALSE)="Percentage",AR$22,IF(VLOOKUP($A27,Input!$A$46:$B$58,2,FALSE)="Fixed","Fixed",(AQ$22)))</f>
        <v>Fixed</v>
      </c>
      <c r="AR27" s="25">
        <f t="shared" si="22"/>
        <v>1.45</v>
      </c>
      <c r="AS27" s="30"/>
      <c r="AT27" s="173">
        <f>INDEX(Input!$C$46:$AM$58,MATCH($A27,Input!$A$46:$A$58,0),MATCH(AT$13,Input!$C$45:$AM$45,0))</f>
        <v>1.45</v>
      </c>
      <c r="AU27" s="31" t="str">
        <f>IF(VLOOKUP($A27,Input!$A$46:$B$58,2,FALSE)="Percentage",AV$22,IF(VLOOKUP($A27,Input!$A$46:$B$58,2,FALSE)="Fixed","Fixed",(AU$22)))</f>
        <v>Fixed</v>
      </c>
      <c r="AV27" s="25">
        <f t="shared" si="23"/>
        <v>1.45</v>
      </c>
    </row>
    <row r="28" spans="1:48" x14ac:dyDescent="0.55000000000000004">
      <c r="A28" t="str">
        <f>Input!A49</f>
        <v>PRVMA</v>
      </c>
      <c r="B28" s="173">
        <f>INDEX(Input!$C$46:$AM$58,MATCH($A28,Input!$A$46:$A$58,0),MATCH(B$13,Input!$C$45:$AM$45,0))</f>
        <v>8.8400000000000006E-3</v>
      </c>
      <c r="C28" s="31">
        <f>IF(VLOOKUP($A28,Input!$A$46:$B$58,2,FALSE)="Percentage",D$22,IF(VLOOKUP($A28,Input!$A$46:$B$58,2,FALSE)="Fixed","Fixed",(C$22)))</f>
        <v>6</v>
      </c>
      <c r="D28" s="25">
        <f t="shared" si="12"/>
        <v>0.05</v>
      </c>
      <c r="F28" s="173">
        <f>INDEX(Input!$C$46:$AM$58,MATCH($A28,Input!$A$46:$A$58,0),MATCH(F$13,Input!$C$45:$AM$45,0))</f>
        <v>8.8400000000000006E-3</v>
      </c>
      <c r="G28" s="31">
        <f>IF(VLOOKUP($A28,Input!$A$46:$B$58,2,FALSE)="Percentage",H$22,IF(VLOOKUP($A28,Input!$A$46:$B$58,2,FALSE)="Fixed","Fixed",(G$22)))</f>
        <v>6</v>
      </c>
      <c r="H28" s="25">
        <f t="shared" si="13"/>
        <v>0.05</v>
      </c>
      <c r="J28" s="173">
        <f>INDEX(Input!$C$46:$AM$58,MATCH($A28,Input!$A$46:$A$58,0),MATCH(J$13,Input!$C$45:$AM$45,0))</f>
        <v>8.8400000000000006E-3</v>
      </c>
      <c r="K28" s="31">
        <f>IF(VLOOKUP($A28,Input!$A$46:$B$58,2,FALSE)="Percentage",L$22,IF(VLOOKUP($A28,Input!$A$46:$B$58,2,FALSE)="Fixed","Fixed",(K$22)))</f>
        <v>6</v>
      </c>
      <c r="L28" s="25">
        <f t="shared" si="14"/>
        <v>0.05</v>
      </c>
      <c r="N28" s="173">
        <f>INDEX(Input!$C$46:$AM$58,MATCH($A28,Input!$A$46:$A$58,0),MATCH(N$13,Input!$C$45:$AM$45,0))</f>
        <v>8.8400000000000006E-3</v>
      </c>
      <c r="O28" s="31">
        <f>IF(VLOOKUP($A28,Input!$A$46:$B$58,2,FALSE)="Percentage",P$22,IF(VLOOKUP($A28,Input!$A$46:$B$58,2,FALSE)="Fixed","Fixed",(O$22)))</f>
        <v>6</v>
      </c>
      <c r="P28" s="25">
        <f t="shared" si="15"/>
        <v>0.05</v>
      </c>
      <c r="R28" s="173">
        <f>INDEX(Input!$C$46:$AM$58,MATCH($A28,Input!$A$46:$A$58,0),MATCH(R$13,Input!$C$45:$AM$45,0))</f>
        <v>8.8400000000000006E-3</v>
      </c>
      <c r="S28" s="31">
        <f>IF(VLOOKUP($A28,Input!$A$46:$B$58,2,FALSE)="Percentage",T$22,IF(VLOOKUP($A28,Input!$A$46:$B$58,2,FALSE)="Fixed","Fixed",(S$22)))</f>
        <v>6</v>
      </c>
      <c r="T28" s="25">
        <f t="shared" si="16"/>
        <v>0.05</v>
      </c>
      <c r="V28" s="173">
        <f>INDEX(Input!$C$46:$AM$58,MATCH($A28,Input!$A$46:$A$58,0),MATCH(V$13,Input!$C$45:$AM$45,0))</f>
        <v>8.8400000000000006E-3</v>
      </c>
      <c r="W28" s="31">
        <f>IF(VLOOKUP($A28,Input!$A$46:$B$58,2,FALSE)="Percentage",X$22,IF(VLOOKUP($A28,Input!$A$46:$B$58,2,FALSE)="Fixed","Fixed",(W$22)))</f>
        <v>6</v>
      </c>
      <c r="X28" s="25">
        <f t="shared" si="17"/>
        <v>0.05</v>
      </c>
      <c r="Z28" s="173">
        <f>INDEX(Input!$C$46:$AM$58,MATCH($A28,Input!$A$46:$A$58,0),MATCH(Z$13,Input!$C$45:$AM$45,0))</f>
        <v>8.8400000000000006E-3</v>
      </c>
      <c r="AA28" s="31">
        <f>IF(VLOOKUP($A28,Input!$A$46:$B$58,2,FALSE)="Percentage",AB$22,IF(VLOOKUP($A28,Input!$A$46:$B$58,2,FALSE)="Fixed","Fixed",(AA$22)))</f>
        <v>6</v>
      </c>
      <c r="AB28" s="25">
        <f t="shared" si="18"/>
        <v>0.05</v>
      </c>
      <c r="AD28" s="173">
        <f>INDEX(Input!$C$46:$AM$58,MATCH($A28,Input!$A$46:$A$58,0),MATCH(AD$13,Input!$C$45:$AM$45,0))</f>
        <v>8.8400000000000006E-3</v>
      </c>
      <c r="AE28" s="31">
        <f>IF(VLOOKUP($A28,Input!$A$46:$B$58,2,FALSE)="Percentage",AF$22,IF(VLOOKUP($A28,Input!$A$46:$B$58,2,FALSE)="Fixed","Fixed",(AE$22)))</f>
        <v>6</v>
      </c>
      <c r="AF28" s="25">
        <f t="shared" si="19"/>
        <v>0.05</v>
      </c>
      <c r="AH28" s="173">
        <f>INDEX(Input!$C$46:$AM$58,MATCH($A28,Input!$A$46:$A$58,0),MATCH(AH$13,Input!$C$45:$AM$45,0))</f>
        <v>0</v>
      </c>
      <c r="AI28" s="31">
        <f>IF(VLOOKUP($A28,Input!$A$46:$B$58,2,FALSE)="Percentage",AJ$22,IF(VLOOKUP($A28,Input!$A$46:$B$58,2,FALSE)="Fixed","Fixed",(AI$22)))</f>
        <v>6</v>
      </c>
      <c r="AJ28" s="25">
        <f t="shared" si="20"/>
        <v>0</v>
      </c>
      <c r="AL28" s="173">
        <f>INDEX(Input!$C$46:$AM$58,MATCH($A28,Input!$A$46:$A$58,0),MATCH(AL$13,Input!$C$45:$AM$45,0))</f>
        <v>0</v>
      </c>
      <c r="AM28" s="31">
        <f>IF(VLOOKUP($A28,Input!$A$46:$B$58,2,FALSE)="Percentage",AN$22,IF(VLOOKUP($A28,Input!$A$46:$B$58,2,FALSE)="Fixed","Fixed",(AM$22)))</f>
        <v>6</v>
      </c>
      <c r="AN28" s="25">
        <f t="shared" si="21"/>
        <v>0</v>
      </c>
      <c r="AP28" s="173">
        <f>INDEX(Input!$C$46:$AM$58,MATCH($A28,Input!$A$46:$A$58,0),MATCH(AP$13,Input!$C$45:$AM$45,0))</f>
        <v>0</v>
      </c>
      <c r="AQ28" s="31">
        <f>IF(VLOOKUP($A28,Input!$A$46:$B$58,2,FALSE)="Percentage",AR$22,IF(VLOOKUP($A28,Input!$A$46:$B$58,2,FALSE)="Fixed","Fixed",(AQ$22)))</f>
        <v>6</v>
      </c>
      <c r="AR28" s="25">
        <f t="shared" si="22"/>
        <v>0</v>
      </c>
      <c r="AS28" s="30"/>
      <c r="AT28" s="173">
        <f>INDEX(Input!$C$46:$AM$58,MATCH($A28,Input!$A$46:$A$58,0),MATCH(AT$13,Input!$C$45:$AM$45,0))</f>
        <v>0</v>
      </c>
      <c r="AU28" s="31">
        <f>IF(VLOOKUP($A28,Input!$A$46:$B$58,2,FALSE)="Percentage",AV$22,IF(VLOOKUP($A28,Input!$A$46:$B$58,2,FALSE)="Fixed","Fixed",(AU$22)))</f>
        <v>6</v>
      </c>
      <c r="AV28" s="25">
        <f t="shared" si="23"/>
        <v>0</v>
      </c>
    </row>
    <row r="29" spans="1:48" x14ac:dyDescent="0.55000000000000004">
      <c r="A29" t="str">
        <f>Input!A50</f>
        <v>2022 Surcredit</v>
      </c>
      <c r="B29" s="173">
        <f>INDEX(Input!$C$46:$AM$58,MATCH($A29,Input!$A$46:$A$58,0),MATCH(B$13,Input!$C$45:$AM$45,0))</f>
        <v>0</v>
      </c>
      <c r="C29" s="31" t="str">
        <f>IF(VLOOKUP($A29,Input!$A$46:$B$58,2,FALSE)="Percentage",D$22,IF(VLOOKUP($A29,Input!$A$46:$B$58,2,FALSE)="Fixed","Fixed",(C$22)))</f>
        <v>Fixed</v>
      </c>
      <c r="D29" s="25">
        <f t="shared" si="12"/>
        <v>0</v>
      </c>
      <c r="F29" s="173">
        <f>INDEX(Input!$C$46:$AM$58,MATCH($A29,Input!$A$46:$A$58,0),MATCH(F$13,Input!$C$45:$AM$45,0))</f>
        <v>0</v>
      </c>
      <c r="G29" s="31" t="str">
        <f>IF(VLOOKUP($A29,Input!$A$46:$B$58,2,FALSE)="Percentage",H$22,IF(VLOOKUP($A29,Input!$A$46:$B$58,2,FALSE)="Fixed","Fixed",(G$22)))</f>
        <v>Fixed</v>
      </c>
      <c r="H29" s="25">
        <f t="shared" si="13"/>
        <v>0</v>
      </c>
      <c r="J29" s="173">
        <f>INDEX(Input!$C$46:$AM$58,MATCH($A29,Input!$A$46:$A$58,0),MATCH(J$13,Input!$C$45:$AM$45,0))</f>
        <v>0</v>
      </c>
      <c r="K29" s="31" t="str">
        <f>IF(VLOOKUP($A29,Input!$A$46:$B$58,2,FALSE)="Percentage",L$22,IF(VLOOKUP($A29,Input!$A$46:$B$58,2,FALSE)="Fixed","Fixed",(K$22)))</f>
        <v>Fixed</v>
      </c>
      <c r="L29" s="25">
        <f t="shared" si="14"/>
        <v>0</v>
      </c>
      <c r="N29" s="173">
        <f>INDEX(Input!$C$46:$AM$58,MATCH($A29,Input!$A$46:$A$58,0),MATCH(N$13,Input!$C$45:$AM$45,0))</f>
        <v>0</v>
      </c>
      <c r="O29" s="31" t="str">
        <f>IF(VLOOKUP($A29,Input!$A$46:$B$58,2,FALSE)="Percentage",P$22,IF(VLOOKUP($A29,Input!$A$46:$B$58,2,FALSE)="Fixed","Fixed",(O$22)))</f>
        <v>Fixed</v>
      </c>
      <c r="P29" s="25">
        <f t="shared" si="15"/>
        <v>0</v>
      </c>
      <c r="R29" s="173">
        <f>INDEX(Input!$C$46:$AM$58,MATCH($A29,Input!$A$46:$A$58,0),MATCH(R$13,Input!$C$45:$AM$45,0))</f>
        <v>0</v>
      </c>
      <c r="S29" s="31" t="str">
        <f>IF(VLOOKUP($A29,Input!$A$46:$B$58,2,FALSE)="Percentage",T$22,IF(VLOOKUP($A29,Input!$A$46:$B$58,2,FALSE)="Fixed","Fixed",(S$22)))</f>
        <v>Fixed</v>
      </c>
      <c r="T29" s="25">
        <f t="shared" si="16"/>
        <v>0</v>
      </c>
      <c r="V29" s="173">
        <f>INDEX(Input!$C$46:$AM$58,MATCH($A29,Input!$A$46:$A$58,0),MATCH(V$13,Input!$C$45:$AM$45,0))</f>
        <v>0</v>
      </c>
      <c r="W29" s="31" t="str">
        <f>IF(VLOOKUP($A29,Input!$A$46:$B$58,2,FALSE)="Percentage",X$22,IF(VLOOKUP($A29,Input!$A$46:$B$58,2,FALSE)="Fixed","Fixed",(W$22)))</f>
        <v>Fixed</v>
      </c>
      <c r="X29" s="25">
        <f t="shared" si="17"/>
        <v>0</v>
      </c>
      <c r="Z29" s="173">
        <f>INDEX(Input!$C$46:$AM$58,MATCH($A29,Input!$A$46:$A$58,0),MATCH(Z$13,Input!$C$45:$AM$45,0))</f>
        <v>0</v>
      </c>
      <c r="AA29" s="31" t="str">
        <f>IF(VLOOKUP($A29,Input!$A$46:$B$58,2,FALSE)="Percentage",AB$22,IF(VLOOKUP($A29,Input!$A$46:$B$58,2,FALSE)="Fixed","Fixed",(AA$22)))</f>
        <v>Fixed</v>
      </c>
      <c r="AB29" s="25">
        <f t="shared" si="18"/>
        <v>0</v>
      </c>
      <c r="AD29" s="173">
        <f>INDEX(Input!$C$46:$AM$58,MATCH($A29,Input!$A$46:$A$58,0),MATCH(AD$13,Input!$C$45:$AM$45,0))</f>
        <v>0</v>
      </c>
      <c r="AE29" s="31" t="str">
        <f>IF(VLOOKUP($A29,Input!$A$46:$B$58,2,FALSE)="Percentage",AF$22,IF(VLOOKUP($A29,Input!$A$46:$B$58,2,FALSE)="Fixed","Fixed",(AE$22)))</f>
        <v>Fixed</v>
      </c>
      <c r="AF29" s="25">
        <f t="shared" si="19"/>
        <v>0</v>
      </c>
      <c r="AH29" s="173">
        <f>INDEX(Input!$C$46:$AM$58,MATCH($A29,Input!$A$46:$A$58,0),MATCH(AH$13,Input!$C$45:$AM$45,0))</f>
        <v>0</v>
      </c>
      <c r="AI29" s="31" t="str">
        <f>IF(VLOOKUP($A29,Input!$A$46:$B$58,2,FALSE)="Percentage",AJ$22,IF(VLOOKUP($A29,Input!$A$46:$B$58,2,FALSE)="Fixed","Fixed",(AI$22)))</f>
        <v>Fixed</v>
      </c>
      <c r="AJ29" s="25">
        <f t="shared" si="20"/>
        <v>0</v>
      </c>
      <c r="AL29" s="173">
        <f>INDEX(Input!$C$46:$AM$58,MATCH($A29,Input!$A$46:$A$58,0),MATCH(AL$13,Input!$C$45:$AM$45,0))</f>
        <v>0</v>
      </c>
      <c r="AM29" s="31" t="str">
        <f>IF(VLOOKUP($A29,Input!$A$46:$B$58,2,FALSE)="Percentage",AN$22,IF(VLOOKUP($A29,Input!$A$46:$B$58,2,FALSE)="Fixed","Fixed",(AM$22)))</f>
        <v>Fixed</v>
      </c>
      <c r="AN29" s="25">
        <f t="shared" si="21"/>
        <v>0</v>
      </c>
      <c r="AP29" s="173">
        <f>INDEX(Input!$C$46:$AM$58,MATCH($A29,Input!$A$46:$A$58,0),MATCH(AP$13,Input!$C$45:$AM$45,0))</f>
        <v>0</v>
      </c>
      <c r="AQ29" s="31" t="str">
        <f>IF(VLOOKUP($A29,Input!$A$46:$B$58,2,FALSE)="Percentage",AR$22,IF(VLOOKUP($A29,Input!$A$46:$B$58,2,FALSE)="Fixed","Fixed",(AQ$22)))</f>
        <v>Fixed</v>
      </c>
      <c r="AR29" s="25">
        <f t="shared" si="22"/>
        <v>0</v>
      </c>
      <c r="AS29" s="30"/>
      <c r="AT29" s="173">
        <f>INDEX(Input!$C$46:$AM$58,MATCH($A29,Input!$A$46:$A$58,0),MATCH(AT$13,Input!$C$45:$AM$45,0))</f>
        <v>0</v>
      </c>
      <c r="AU29" s="31" t="str">
        <f>IF(VLOOKUP($A29,Input!$A$46:$B$58,2,FALSE)="Percentage",AV$22,IF(VLOOKUP($A29,Input!$A$46:$B$58,2,FALSE)="Fixed","Fixed",(AU$22)))</f>
        <v>Fixed</v>
      </c>
      <c r="AV29" s="25">
        <f t="shared" si="23"/>
        <v>0</v>
      </c>
    </row>
    <row r="30" spans="1:48" x14ac:dyDescent="0.55000000000000004">
      <c r="A30" t="str">
        <f>Input!A51</f>
        <v>Interim Memo Account Surcharge</v>
      </c>
      <c r="B30" s="173">
        <f>INDEX(Input!$C$46:$AM$58,MATCH($A30,Input!$A$46:$A$58,0),MATCH(B$13,Input!$C$45:$AM$45,0))</f>
        <v>0.44080000000000003</v>
      </c>
      <c r="C30" s="31">
        <f>IF(VLOOKUP($A30,Input!$A$46:$B$58,2,FALSE)="Percentage",D$22,IF(VLOOKUP($A30,Input!$A$46:$B$58,2,FALSE)="Fixed","Fixed",(C$22)))</f>
        <v>6</v>
      </c>
      <c r="D30" s="25">
        <f t="shared" si="12"/>
        <v>2.64</v>
      </c>
      <c r="F30" s="173">
        <f>INDEX(Input!$C$46:$AM$58,MATCH($A30,Input!$A$46:$A$58,0),MATCH(F$13,Input!$C$45:$AM$45,0))</f>
        <v>0.44080000000000003</v>
      </c>
      <c r="G30" s="31">
        <f>IF(VLOOKUP($A30,Input!$A$46:$B$58,2,FALSE)="Percentage",H$22,IF(VLOOKUP($A30,Input!$A$46:$B$58,2,FALSE)="Fixed","Fixed",(G$22)))</f>
        <v>6</v>
      </c>
      <c r="H30" s="25">
        <f t="shared" si="13"/>
        <v>2.64</v>
      </c>
      <c r="J30" s="173">
        <f>INDEX(Input!$C$46:$AM$58,MATCH($A30,Input!$A$46:$A$58,0),MATCH(J$13,Input!$C$45:$AM$45,0))</f>
        <v>0.44080000000000003</v>
      </c>
      <c r="K30" s="31">
        <f>IF(VLOOKUP($A30,Input!$A$46:$B$58,2,FALSE)="Percentage",L$22,IF(VLOOKUP($A30,Input!$A$46:$B$58,2,FALSE)="Fixed","Fixed",(K$22)))</f>
        <v>6</v>
      </c>
      <c r="L30" s="25">
        <f t="shared" si="14"/>
        <v>2.64</v>
      </c>
      <c r="N30" s="173">
        <f>INDEX(Input!$C$46:$AM$58,MATCH($A30,Input!$A$46:$A$58,0),MATCH(N$13,Input!$C$45:$AM$45,0))</f>
        <v>0.44080000000000003</v>
      </c>
      <c r="O30" s="31">
        <f>IF(VLOOKUP($A30,Input!$A$46:$B$58,2,FALSE)="Percentage",P$22,IF(VLOOKUP($A30,Input!$A$46:$B$58,2,FALSE)="Fixed","Fixed",(O$22)))</f>
        <v>6</v>
      </c>
      <c r="P30" s="25">
        <f t="shared" si="15"/>
        <v>2.64</v>
      </c>
      <c r="R30" s="173">
        <f>INDEX(Input!$C$46:$AM$58,MATCH($A30,Input!$A$46:$A$58,0),MATCH(R$13,Input!$C$45:$AM$45,0))</f>
        <v>0.44080000000000003</v>
      </c>
      <c r="S30" s="31">
        <f>IF(VLOOKUP($A30,Input!$A$46:$B$58,2,FALSE)="Percentage",T$22,IF(VLOOKUP($A30,Input!$A$46:$B$58,2,FALSE)="Fixed","Fixed",(S$22)))</f>
        <v>6</v>
      </c>
      <c r="T30" s="25">
        <f t="shared" si="16"/>
        <v>2.64</v>
      </c>
      <c r="V30" s="173">
        <f>INDEX(Input!$C$46:$AM$58,MATCH($A30,Input!$A$46:$A$58,0),MATCH(V$13,Input!$C$45:$AM$45,0))</f>
        <v>0.44080000000000003</v>
      </c>
      <c r="W30" s="31">
        <f>IF(VLOOKUP($A30,Input!$A$46:$B$58,2,FALSE)="Percentage",X$22,IF(VLOOKUP($A30,Input!$A$46:$B$58,2,FALSE)="Fixed","Fixed",(W$22)))</f>
        <v>6</v>
      </c>
      <c r="X30" s="25">
        <f t="shared" si="17"/>
        <v>2.64</v>
      </c>
      <c r="Z30" s="173">
        <f>INDEX(Input!$C$46:$AM$58,MATCH($A30,Input!$A$46:$A$58,0),MATCH(Z$13,Input!$C$45:$AM$45,0))</f>
        <v>0.44080000000000003</v>
      </c>
      <c r="AA30" s="31">
        <f>IF(VLOOKUP($A30,Input!$A$46:$B$58,2,FALSE)="Percentage",AB$22,IF(VLOOKUP($A30,Input!$A$46:$B$58,2,FALSE)="Fixed","Fixed",(AA$22)))</f>
        <v>6</v>
      </c>
      <c r="AB30" s="25">
        <f t="shared" si="18"/>
        <v>2.64</v>
      </c>
      <c r="AD30" s="173">
        <f>INDEX(Input!$C$46:$AM$58,MATCH($A30,Input!$A$46:$A$58,0),MATCH(AD$13,Input!$C$45:$AM$45,0))</f>
        <v>0.44080000000000003</v>
      </c>
      <c r="AE30" s="31">
        <f>IF(VLOOKUP($A30,Input!$A$46:$B$58,2,FALSE)="Percentage",AF$22,IF(VLOOKUP($A30,Input!$A$46:$B$58,2,FALSE)="Fixed","Fixed",(AE$22)))</f>
        <v>6</v>
      </c>
      <c r="AF30" s="25">
        <f t="shared" si="19"/>
        <v>2.64</v>
      </c>
      <c r="AH30" s="173">
        <f>INDEX(Input!$C$46:$AM$58,MATCH($A30,Input!$A$46:$A$58,0),MATCH(AH$13,Input!$C$45:$AM$45,0))</f>
        <v>0.44080000000000003</v>
      </c>
      <c r="AI30" s="31">
        <f>IF(VLOOKUP($A30,Input!$A$46:$B$58,2,FALSE)="Percentage",AJ$22,IF(VLOOKUP($A30,Input!$A$46:$B$58,2,FALSE)="Fixed","Fixed",(AI$22)))</f>
        <v>6</v>
      </c>
      <c r="AJ30" s="25">
        <f t="shared" si="20"/>
        <v>2.64</v>
      </c>
      <c r="AL30" s="173">
        <f>INDEX(Input!$C$46:$AM$58,MATCH($A30,Input!$A$46:$A$58,0),MATCH(AL$13,Input!$C$45:$AM$45,0))</f>
        <v>0.44080000000000003</v>
      </c>
      <c r="AM30" s="31">
        <f>IF(VLOOKUP($A30,Input!$A$46:$B$58,2,FALSE)="Percentage",AN$22,IF(VLOOKUP($A30,Input!$A$46:$B$58,2,FALSE)="Fixed","Fixed",(AM$22)))</f>
        <v>6</v>
      </c>
      <c r="AN30" s="25">
        <f t="shared" si="21"/>
        <v>2.64</v>
      </c>
      <c r="AP30" s="173">
        <f>INDEX(Input!$C$46:$AM$58,MATCH($A30,Input!$A$46:$A$58,0),MATCH(AP$13,Input!$C$45:$AM$45,0))</f>
        <v>0.44080000000000003</v>
      </c>
      <c r="AQ30" s="31">
        <f>IF(VLOOKUP($A30,Input!$A$46:$B$58,2,FALSE)="Percentage",AR$22,IF(VLOOKUP($A30,Input!$A$46:$B$58,2,FALSE)="Fixed","Fixed",(AQ$22)))</f>
        <v>6</v>
      </c>
      <c r="AR30" s="25">
        <f t="shared" si="22"/>
        <v>2.64</v>
      </c>
      <c r="AS30" s="30"/>
      <c r="AT30" s="173">
        <f>INDEX(Input!$C$46:$AM$58,MATCH($A30,Input!$A$46:$A$58,0),MATCH(AT$13,Input!$C$45:$AM$45,0))</f>
        <v>0.44080000000000003</v>
      </c>
      <c r="AU30" s="31">
        <f>IF(VLOOKUP($A30,Input!$A$46:$B$58,2,FALSE)="Percentage",AV$22,IF(VLOOKUP($A30,Input!$A$46:$B$58,2,FALSE)="Fixed","Fixed",(AU$22)))</f>
        <v>6</v>
      </c>
      <c r="AV30" s="25">
        <f t="shared" si="23"/>
        <v>2.64</v>
      </c>
    </row>
    <row r="31" spans="1:48" x14ac:dyDescent="0.55000000000000004">
      <c r="A31">
        <f>Input!A52</f>
        <v>0</v>
      </c>
      <c r="B31" s="173">
        <f>INDEX(Input!$C$46:$AM$58,MATCH($A31,Input!$A$46:$A$58,0),MATCH(B$13,Input!$C$45:$AM$45,0))</f>
        <v>0</v>
      </c>
      <c r="C31" s="31">
        <f>IF(VLOOKUP($A31,Input!$A$46:$B$58,2,FALSE)="Percentage",D$22,IF(VLOOKUP($A31,Input!$A$46:$B$58,2,FALSE)="Fixed","Fixed",(C$22)))</f>
        <v>6</v>
      </c>
      <c r="D31" s="25">
        <f t="shared" si="12"/>
        <v>0</v>
      </c>
      <c r="F31" s="173">
        <f>INDEX(Input!$C$46:$AM$58,MATCH($A31,Input!$A$46:$A$58,0),MATCH(F$13,Input!$C$45:$AM$45,0))</f>
        <v>0</v>
      </c>
      <c r="G31" s="31">
        <f>IF(VLOOKUP($A31,Input!$A$46:$B$58,2,FALSE)="Percentage",H$22,IF(VLOOKUP($A31,Input!$A$46:$B$58,2,FALSE)="Fixed","Fixed",(G$22)))</f>
        <v>6</v>
      </c>
      <c r="H31" s="25">
        <f t="shared" si="13"/>
        <v>0</v>
      </c>
      <c r="J31" s="173">
        <f>INDEX(Input!$C$46:$AM$58,MATCH($A31,Input!$A$46:$A$58,0),MATCH(J$13,Input!$C$45:$AM$45,0))</f>
        <v>0</v>
      </c>
      <c r="K31" s="31">
        <f>IF(VLOOKUP($A31,Input!$A$46:$B$58,2,FALSE)="Percentage",L$22,IF(VLOOKUP($A31,Input!$A$46:$B$58,2,FALSE)="Fixed","Fixed",(K$22)))</f>
        <v>6</v>
      </c>
      <c r="L31" s="25">
        <f t="shared" si="14"/>
        <v>0</v>
      </c>
      <c r="N31" s="173">
        <f>INDEX(Input!$C$46:$AM$58,MATCH($A31,Input!$A$46:$A$58,0),MATCH(N$13,Input!$C$45:$AM$45,0))</f>
        <v>0</v>
      </c>
      <c r="O31" s="31">
        <f>IF(VLOOKUP($A31,Input!$A$46:$B$58,2,FALSE)="Percentage",P$22,IF(VLOOKUP($A31,Input!$A$46:$B$58,2,FALSE)="Fixed","Fixed",(O$22)))</f>
        <v>6</v>
      </c>
      <c r="P31" s="25">
        <f t="shared" si="15"/>
        <v>0</v>
      </c>
      <c r="R31" s="173">
        <f>INDEX(Input!$C$46:$AM$58,MATCH($A31,Input!$A$46:$A$58,0),MATCH(R$13,Input!$C$45:$AM$45,0))</f>
        <v>0</v>
      </c>
      <c r="S31" s="31">
        <f>IF(VLOOKUP($A31,Input!$A$46:$B$58,2,FALSE)="Percentage",T$22,IF(VLOOKUP($A31,Input!$A$46:$B$58,2,FALSE)="Fixed","Fixed",(S$22)))</f>
        <v>6</v>
      </c>
      <c r="T31" s="25">
        <f t="shared" si="16"/>
        <v>0</v>
      </c>
      <c r="V31" s="173">
        <f>INDEX(Input!$C$46:$AM$58,MATCH($A31,Input!$A$46:$A$58,0),MATCH(V$13,Input!$C$45:$AM$45,0))</f>
        <v>0</v>
      </c>
      <c r="W31" s="31">
        <f>IF(VLOOKUP($A31,Input!$A$46:$B$58,2,FALSE)="Percentage",X$22,IF(VLOOKUP($A31,Input!$A$46:$B$58,2,FALSE)="Fixed","Fixed",(W$22)))</f>
        <v>6</v>
      </c>
      <c r="X31" s="25">
        <f t="shared" si="17"/>
        <v>0</v>
      </c>
      <c r="Z31" s="173">
        <f>INDEX(Input!$C$46:$AM$58,MATCH($A31,Input!$A$46:$A$58,0),MATCH(Z$13,Input!$C$45:$AM$45,0))</f>
        <v>0</v>
      </c>
      <c r="AA31" s="31">
        <f>IF(VLOOKUP($A31,Input!$A$46:$B$58,2,FALSE)="Percentage",AB$22,IF(VLOOKUP($A31,Input!$A$46:$B$58,2,FALSE)="Fixed","Fixed",(AA$22)))</f>
        <v>6</v>
      </c>
      <c r="AB31" s="25">
        <f t="shared" si="18"/>
        <v>0</v>
      </c>
      <c r="AD31" s="173">
        <f>INDEX(Input!$C$46:$AM$58,MATCH($A31,Input!$A$46:$A$58,0),MATCH(AD$13,Input!$C$45:$AM$45,0))</f>
        <v>0</v>
      </c>
      <c r="AE31" s="31">
        <f>IF(VLOOKUP($A31,Input!$A$46:$B$58,2,FALSE)="Percentage",AF$22,IF(VLOOKUP($A31,Input!$A$46:$B$58,2,FALSE)="Fixed","Fixed",(AE$22)))</f>
        <v>6</v>
      </c>
      <c r="AF31" s="25">
        <f t="shared" si="19"/>
        <v>0</v>
      </c>
      <c r="AH31" s="173">
        <f>INDEX(Input!$C$46:$AM$58,MATCH($A31,Input!$A$46:$A$58,0),MATCH(AH$13,Input!$C$45:$AM$45,0))</f>
        <v>0</v>
      </c>
      <c r="AI31" s="31">
        <f>IF(VLOOKUP($A31,Input!$A$46:$B$58,2,FALSE)="Percentage",AJ$22,IF(VLOOKUP($A31,Input!$A$46:$B$58,2,FALSE)="Fixed","Fixed",(AI$22)))</f>
        <v>6</v>
      </c>
      <c r="AJ31" s="25">
        <f t="shared" si="20"/>
        <v>0</v>
      </c>
      <c r="AL31" s="173">
        <f>INDEX(Input!$C$46:$AM$58,MATCH($A31,Input!$A$46:$A$58,0),MATCH(AL$13,Input!$C$45:$AM$45,0))</f>
        <v>0</v>
      </c>
      <c r="AM31" s="31">
        <f>IF(VLOOKUP($A31,Input!$A$46:$B$58,2,FALSE)="Percentage",AN$22,IF(VLOOKUP($A31,Input!$A$46:$B$58,2,FALSE)="Fixed","Fixed",(AM$22)))</f>
        <v>6</v>
      </c>
      <c r="AN31" s="25">
        <f t="shared" si="21"/>
        <v>0</v>
      </c>
      <c r="AP31" s="173">
        <f>INDEX(Input!$C$46:$AM$58,MATCH($A31,Input!$A$46:$A$58,0),MATCH(AP$13,Input!$C$45:$AM$45,0))</f>
        <v>0</v>
      </c>
      <c r="AQ31" s="31">
        <f>IF(VLOOKUP($A31,Input!$A$46:$B$58,2,FALSE)="Percentage",AR$22,IF(VLOOKUP($A31,Input!$A$46:$B$58,2,FALSE)="Fixed","Fixed",(AQ$22)))</f>
        <v>6</v>
      </c>
      <c r="AR31" s="25">
        <f t="shared" si="22"/>
        <v>0</v>
      </c>
      <c r="AS31" s="30"/>
      <c r="AT31" s="173">
        <f>INDEX(Input!$C$46:$AM$58,MATCH($A31,Input!$A$46:$A$58,0),MATCH(AT$13,Input!$C$45:$AM$45,0))</f>
        <v>0</v>
      </c>
      <c r="AU31" s="31">
        <f>IF(VLOOKUP($A31,Input!$A$46:$B$58,2,FALSE)="Percentage",AV$22,IF(VLOOKUP($A31,Input!$A$46:$B$58,2,FALSE)="Fixed","Fixed",(AU$22)))</f>
        <v>6</v>
      </c>
      <c r="AV31" s="25">
        <f t="shared" si="23"/>
        <v>0</v>
      </c>
    </row>
    <row r="32" spans="1:48" x14ac:dyDescent="0.55000000000000004">
      <c r="A32">
        <f>Input!A53</f>
        <v>0</v>
      </c>
      <c r="B32" s="173">
        <f>INDEX(Input!$C$46:$AM$58,MATCH($A32,Input!$A$46:$A$58,0),MATCH(B$13,Input!$C$45:$AM$45,0))</f>
        <v>0</v>
      </c>
      <c r="C32" s="31">
        <f>IF(VLOOKUP($A32,Input!$A$46:$B$58,2,FALSE)="Percentage",D$22,IF(VLOOKUP($A32,Input!$A$46:$B$58,2,FALSE)="Fixed","Fixed",(C$22)))</f>
        <v>6</v>
      </c>
      <c r="D32" s="25">
        <f t="shared" si="12"/>
        <v>0</v>
      </c>
      <c r="F32" s="173">
        <f>INDEX(Input!$C$46:$AM$58,MATCH($A32,Input!$A$46:$A$58,0),MATCH(F$13,Input!$C$45:$AM$45,0))</f>
        <v>0</v>
      </c>
      <c r="G32" s="31">
        <f>IF(VLOOKUP($A32,Input!$A$46:$B$58,2,FALSE)="Percentage",H$22,IF(VLOOKUP($A32,Input!$A$46:$B$58,2,FALSE)="Fixed","Fixed",(G$22)))</f>
        <v>6</v>
      </c>
      <c r="H32" s="25">
        <f t="shared" si="13"/>
        <v>0</v>
      </c>
      <c r="J32" s="173">
        <f>INDEX(Input!$C$46:$AM$58,MATCH($A32,Input!$A$46:$A$58,0),MATCH(J$13,Input!$C$45:$AM$45,0))</f>
        <v>0</v>
      </c>
      <c r="K32" s="31">
        <f>IF(VLOOKUP($A32,Input!$A$46:$B$58,2,FALSE)="Percentage",L$22,IF(VLOOKUP($A32,Input!$A$46:$B$58,2,FALSE)="Fixed","Fixed",(K$22)))</f>
        <v>6</v>
      </c>
      <c r="L32" s="25">
        <f t="shared" si="14"/>
        <v>0</v>
      </c>
      <c r="N32" s="173">
        <f>INDEX(Input!$C$46:$AM$58,MATCH($A32,Input!$A$46:$A$58,0),MATCH(N$13,Input!$C$45:$AM$45,0))</f>
        <v>0</v>
      </c>
      <c r="O32" s="31">
        <f>IF(VLOOKUP($A32,Input!$A$46:$B$58,2,FALSE)="Percentage",P$22,IF(VLOOKUP($A32,Input!$A$46:$B$58,2,FALSE)="Fixed","Fixed",(O$22)))</f>
        <v>6</v>
      </c>
      <c r="P32" s="25">
        <f t="shared" si="15"/>
        <v>0</v>
      </c>
      <c r="R32" s="173">
        <f>INDEX(Input!$C$46:$AM$58,MATCH($A32,Input!$A$46:$A$58,0),MATCH(R$13,Input!$C$45:$AM$45,0))</f>
        <v>0</v>
      </c>
      <c r="S32" s="31">
        <f>IF(VLOOKUP($A32,Input!$A$46:$B$58,2,FALSE)="Percentage",T$22,IF(VLOOKUP($A32,Input!$A$46:$B$58,2,FALSE)="Fixed","Fixed",(S$22)))</f>
        <v>6</v>
      </c>
      <c r="T32" s="25">
        <f t="shared" si="16"/>
        <v>0</v>
      </c>
      <c r="V32" s="173">
        <f>INDEX(Input!$C$46:$AM$58,MATCH($A32,Input!$A$46:$A$58,0),MATCH(V$13,Input!$C$45:$AM$45,0))</f>
        <v>0</v>
      </c>
      <c r="W32" s="31">
        <f>IF(VLOOKUP($A32,Input!$A$46:$B$58,2,FALSE)="Percentage",X$22,IF(VLOOKUP($A32,Input!$A$46:$B$58,2,FALSE)="Fixed","Fixed",(W$22)))</f>
        <v>6</v>
      </c>
      <c r="X32" s="25">
        <f t="shared" si="17"/>
        <v>0</v>
      </c>
      <c r="Z32" s="173">
        <f>INDEX(Input!$C$46:$AM$58,MATCH($A32,Input!$A$46:$A$58,0),MATCH(Z$13,Input!$C$45:$AM$45,0))</f>
        <v>0</v>
      </c>
      <c r="AA32" s="31">
        <f>IF(VLOOKUP($A32,Input!$A$46:$B$58,2,FALSE)="Percentage",AB$22,IF(VLOOKUP($A32,Input!$A$46:$B$58,2,FALSE)="Fixed","Fixed",(AA$22)))</f>
        <v>6</v>
      </c>
      <c r="AB32" s="25">
        <f t="shared" si="18"/>
        <v>0</v>
      </c>
      <c r="AD32" s="173">
        <f>INDEX(Input!$C$46:$AM$58,MATCH($A32,Input!$A$46:$A$58,0),MATCH(AD$13,Input!$C$45:$AM$45,0))</f>
        <v>0</v>
      </c>
      <c r="AE32" s="31">
        <f>IF(VLOOKUP($A32,Input!$A$46:$B$58,2,FALSE)="Percentage",AF$22,IF(VLOOKUP($A32,Input!$A$46:$B$58,2,FALSE)="Fixed","Fixed",(AE$22)))</f>
        <v>6</v>
      </c>
      <c r="AF32" s="25">
        <f t="shared" si="19"/>
        <v>0</v>
      </c>
      <c r="AH32" s="173">
        <f>INDEX(Input!$C$46:$AM$58,MATCH($A32,Input!$A$46:$A$58,0),MATCH(AH$13,Input!$C$45:$AM$45,0))</f>
        <v>0</v>
      </c>
      <c r="AI32" s="31">
        <f>IF(VLOOKUP($A32,Input!$A$46:$B$58,2,FALSE)="Percentage",AJ$22,IF(VLOOKUP($A32,Input!$A$46:$B$58,2,FALSE)="Fixed","Fixed",(AI$22)))</f>
        <v>6</v>
      </c>
      <c r="AJ32" s="25">
        <f t="shared" si="20"/>
        <v>0</v>
      </c>
      <c r="AL32" s="173">
        <f>INDEX(Input!$C$46:$AM$58,MATCH($A32,Input!$A$46:$A$58,0),MATCH(AL$13,Input!$C$45:$AM$45,0))</f>
        <v>0</v>
      </c>
      <c r="AM32" s="31">
        <f>IF(VLOOKUP($A32,Input!$A$46:$B$58,2,FALSE)="Percentage",AN$22,IF(VLOOKUP($A32,Input!$A$46:$B$58,2,FALSE)="Fixed","Fixed",(AM$22)))</f>
        <v>6</v>
      </c>
      <c r="AN32" s="25">
        <f t="shared" si="21"/>
        <v>0</v>
      </c>
      <c r="AP32" s="173">
        <f>INDEX(Input!$C$46:$AM$58,MATCH($A32,Input!$A$46:$A$58,0),MATCH(AP$13,Input!$C$45:$AM$45,0))</f>
        <v>0</v>
      </c>
      <c r="AQ32" s="31">
        <f>IF(VLOOKUP($A32,Input!$A$46:$B$58,2,FALSE)="Percentage",AR$22,IF(VLOOKUP($A32,Input!$A$46:$B$58,2,FALSE)="Fixed","Fixed",(AQ$22)))</f>
        <v>6</v>
      </c>
      <c r="AR32" s="25">
        <f t="shared" si="22"/>
        <v>0</v>
      </c>
      <c r="AS32" s="30"/>
      <c r="AT32" s="173">
        <f>INDEX(Input!$C$46:$AM$58,MATCH($A32,Input!$A$46:$A$58,0),MATCH(AT$13,Input!$C$45:$AM$45,0))</f>
        <v>0</v>
      </c>
      <c r="AU32" s="31">
        <f>IF(VLOOKUP($A32,Input!$A$46:$B$58,2,FALSE)="Percentage",AV$22,IF(VLOOKUP($A32,Input!$A$46:$B$58,2,FALSE)="Fixed","Fixed",(AU$22)))</f>
        <v>6</v>
      </c>
      <c r="AV32" s="25">
        <f t="shared" si="23"/>
        <v>0</v>
      </c>
    </row>
    <row r="33" spans="1:48" x14ac:dyDescent="0.55000000000000004">
      <c r="A33">
        <f>Input!A54</f>
        <v>0</v>
      </c>
      <c r="B33" s="173">
        <f>INDEX(Input!$C$46:$AM$58,MATCH($A33,Input!$A$46:$A$58,0),MATCH(B$13,Input!$C$45:$AM$45,0))</f>
        <v>0</v>
      </c>
      <c r="C33" s="31">
        <f>IF(VLOOKUP($A33,Input!$A$46:$B$58,2,FALSE)="Percentage",D$22,IF(VLOOKUP($A33,Input!$A$46:$B$58,2,FALSE)="Fixed","Fixed",(C$22)))</f>
        <v>6</v>
      </c>
      <c r="D33" s="25">
        <f t="shared" si="12"/>
        <v>0</v>
      </c>
      <c r="F33" s="173">
        <f>INDEX(Input!$C$46:$AM$58,MATCH($A33,Input!$A$46:$A$58,0),MATCH(F$13,Input!$C$45:$AM$45,0))</f>
        <v>0</v>
      </c>
      <c r="G33" s="31">
        <f>IF(VLOOKUP($A33,Input!$A$46:$B$58,2,FALSE)="Percentage",H$22,IF(VLOOKUP($A33,Input!$A$46:$B$58,2,FALSE)="Fixed","Fixed",(G$22)))</f>
        <v>6</v>
      </c>
      <c r="H33" s="25">
        <f t="shared" si="13"/>
        <v>0</v>
      </c>
      <c r="J33" s="173">
        <f>INDEX(Input!$C$46:$AM$58,MATCH($A33,Input!$A$46:$A$58,0),MATCH(J$13,Input!$C$45:$AM$45,0))</f>
        <v>0</v>
      </c>
      <c r="K33" s="31">
        <f>IF(VLOOKUP($A33,Input!$A$46:$B$58,2,FALSE)="Percentage",L$22,IF(VLOOKUP($A33,Input!$A$46:$B$58,2,FALSE)="Fixed","Fixed",(K$22)))</f>
        <v>6</v>
      </c>
      <c r="L33" s="25">
        <f t="shared" si="14"/>
        <v>0</v>
      </c>
      <c r="N33" s="173">
        <f>INDEX(Input!$C$46:$AM$58,MATCH($A33,Input!$A$46:$A$58,0),MATCH(N$13,Input!$C$45:$AM$45,0))</f>
        <v>0</v>
      </c>
      <c r="O33" s="31">
        <f>IF(VLOOKUP($A33,Input!$A$46:$B$58,2,FALSE)="Percentage",P$22,IF(VLOOKUP($A33,Input!$A$46:$B$58,2,FALSE)="Fixed","Fixed",(O$22)))</f>
        <v>6</v>
      </c>
      <c r="P33" s="25">
        <f t="shared" si="15"/>
        <v>0</v>
      </c>
      <c r="R33" s="173">
        <f>INDEX(Input!$C$46:$AM$58,MATCH($A33,Input!$A$46:$A$58,0),MATCH(R$13,Input!$C$45:$AM$45,0))</f>
        <v>0</v>
      </c>
      <c r="S33" s="31">
        <f>IF(VLOOKUP($A33,Input!$A$46:$B$58,2,FALSE)="Percentage",T$22,IF(VLOOKUP($A33,Input!$A$46:$B$58,2,FALSE)="Fixed","Fixed",(S$22)))</f>
        <v>6</v>
      </c>
      <c r="T33" s="25">
        <f t="shared" si="16"/>
        <v>0</v>
      </c>
      <c r="V33" s="173">
        <f>INDEX(Input!$C$46:$AM$58,MATCH($A33,Input!$A$46:$A$58,0),MATCH(V$13,Input!$C$45:$AM$45,0))</f>
        <v>0</v>
      </c>
      <c r="W33" s="31">
        <f>IF(VLOOKUP($A33,Input!$A$46:$B$58,2,FALSE)="Percentage",X$22,IF(VLOOKUP($A33,Input!$A$46:$B$58,2,FALSE)="Fixed","Fixed",(W$22)))</f>
        <v>6</v>
      </c>
      <c r="X33" s="25">
        <f t="shared" si="17"/>
        <v>0</v>
      </c>
      <c r="Z33" s="173">
        <f>INDEX(Input!$C$46:$AM$58,MATCH($A33,Input!$A$46:$A$58,0),MATCH(Z$13,Input!$C$45:$AM$45,0))</f>
        <v>0</v>
      </c>
      <c r="AA33" s="31">
        <f>IF(VLOOKUP($A33,Input!$A$46:$B$58,2,FALSE)="Percentage",AB$22,IF(VLOOKUP($A33,Input!$A$46:$B$58,2,FALSE)="Fixed","Fixed",(AA$22)))</f>
        <v>6</v>
      </c>
      <c r="AB33" s="25">
        <f t="shared" si="18"/>
        <v>0</v>
      </c>
      <c r="AD33" s="173">
        <f>INDEX(Input!$C$46:$AM$58,MATCH($A33,Input!$A$46:$A$58,0),MATCH(AD$13,Input!$C$45:$AM$45,0))</f>
        <v>0</v>
      </c>
      <c r="AE33" s="31">
        <f>IF(VLOOKUP($A33,Input!$A$46:$B$58,2,FALSE)="Percentage",AF$22,IF(VLOOKUP($A33,Input!$A$46:$B$58,2,FALSE)="Fixed","Fixed",(AE$22)))</f>
        <v>6</v>
      </c>
      <c r="AF33" s="25">
        <f t="shared" si="19"/>
        <v>0</v>
      </c>
      <c r="AH33" s="173">
        <f>INDEX(Input!$C$46:$AM$58,MATCH($A33,Input!$A$46:$A$58,0),MATCH(AH$13,Input!$C$45:$AM$45,0))</f>
        <v>0</v>
      </c>
      <c r="AI33" s="31">
        <f>IF(VLOOKUP($A33,Input!$A$46:$B$58,2,FALSE)="Percentage",AJ$22,IF(VLOOKUP($A33,Input!$A$46:$B$58,2,FALSE)="Fixed","Fixed",(AI$22)))</f>
        <v>6</v>
      </c>
      <c r="AJ33" s="25">
        <f t="shared" si="20"/>
        <v>0</v>
      </c>
      <c r="AL33" s="173">
        <f>INDEX(Input!$C$46:$AM$58,MATCH($A33,Input!$A$46:$A$58,0),MATCH(AL$13,Input!$C$45:$AM$45,0))</f>
        <v>0</v>
      </c>
      <c r="AM33" s="31">
        <f>IF(VLOOKUP($A33,Input!$A$46:$B$58,2,FALSE)="Percentage",AN$22,IF(VLOOKUP($A33,Input!$A$46:$B$58,2,FALSE)="Fixed","Fixed",(AM$22)))</f>
        <v>6</v>
      </c>
      <c r="AN33" s="25">
        <f t="shared" si="21"/>
        <v>0</v>
      </c>
      <c r="AP33" s="173">
        <f>INDEX(Input!$C$46:$AM$58,MATCH($A33,Input!$A$46:$A$58,0),MATCH(AP$13,Input!$C$45:$AM$45,0))</f>
        <v>0</v>
      </c>
      <c r="AQ33" s="31">
        <f>IF(VLOOKUP($A33,Input!$A$46:$B$58,2,FALSE)="Percentage",AR$22,IF(VLOOKUP($A33,Input!$A$46:$B$58,2,FALSE)="Fixed","Fixed",(AQ$22)))</f>
        <v>6</v>
      </c>
      <c r="AR33" s="25">
        <f t="shared" si="22"/>
        <v>0</v>
      </c>
      <c r="AS33" s="30"/>
      <c r="AT33" s="173">
        <f>INDEX(Input!$C$46:$AM$58,MATCH($A33,Input!$A$46:$A$58,0),MATCH(AT$13,Input!$C$45:$AM$45,0))</f>
        <v>0</v>
      </c>
      <c r="AU33" s="31">
        <f>IF(VLOOKUP($A33,Input!$A$46:$B$58,2,FALSE)="Percentage",AV$22,IF(VLOOKUP($A33,Input!$A$46:$B$58,2,FALSE)="Fixed","Fixed",(AU$22)))</f>
        <v>6</v>
      </c>
      <c r="AV33" s="25">
        <f t="shared" si="23"/>
        <v>0</v>
      </c>
    </row>
    <row r="34" spans="1:48" x14ac:dyDescent="0.55000000000000004">
      <c r="A34">
        <f>Input!A55</f>
        <v>0</v>
      </c>
      <c r="B34" s="173">
        <f>INDEX(Input!$C$46:$AM$58,MATCH($A34,Input!$A$46:$A$58,0),MATCH(B$13,Input!$C$45:$AM$45,0))</f>
        <v>0</v>
      </c>
      <c r="C34" s="31">
        <f>IF(VLOOKUP($A34,Input!$A$46:$B$58,2,FALSE)="Percentage",D$22,IF(VLOOKUP($A34,Input!$A$46:$B$58,2,FALSE)="Fixed","Fixed",(C$22)))</f>
        <v>6</v>
      </c>
      <c r="D34" s="25">
        <f t="shared" si="12"/>
        <v>0</v>
      </c>
      <c r="F34" s="173">
        <f>INDEX(Input!$C$46:$AM$58,MATCH($A34,Input!$A$46:$A$58,0),MATCH(F$13,Input!$C$45:$AM$45,0))</f>
        <v>0</v>
      </c>
      <c r="G34" s="31">
        <f>IF(VLOOKUP($A34,Input!$A$46:$B$58,2,FALSE)="Percentage",H$22,IF(VLOOKUP($A34,Input!$A$46:$B$58,2,FALSE)="Fixed","Fixed",(G$22)))</f>
        <v>6</v>
      </c>
      <c r="H34" s="25">
        <f t="shared" si="13"/>
        <v>0</v>
      </c>
      <c r="J34" s="173">
        <f>INDEX(Input!$C$46:$AM$58,MATCH($A34,Input!$A$46:$A$58,0),MATCH(J$13,Input!$C$45:$AM$45,0))</f>
        <v>0</v>
      </c>
      <c r="K34" s="31">
        <f>IF(VLOOKUP($A34,Input!$A$46:$B$58,2,FALSE)="Percentage",L$22,IF(VLOOKUP($A34,Input!$A$46:$B$58,2,FALSE)="Fixed","Fixed",(K$22)))</f>
        <v>6</v>
      </c>
      <c r="L34" s="25">
        <f t="shared" si="14"/>
        <v>0</v>
      </c>
      <c r="N34" s="173">
        <f>INDEX(Input!$C$46:$AM$58,MATCH($A34,Input!$A$46:$A$58,0),MATCH(N$13,Input!$C$45:$AM$45,0))</f>
        <v>0</v>
      </c>
      <c r="O34" s="31">
        <f>IF(VLOOKUP($A34,Input!$A$46:$B$58,2,FALSE)="Percentage",P$22,IF(VLOOKUP($A34,Input!$A$46:$B$58,2,FALSE)="Fixed","Fixed",(O$22)))</f>
        <v>6</v>
      </c>
      <c r="P34" s="25">
        <f t="shared" si="15"/>
        <v>0</v>
      </c>
      <c r="R34" s="173">
        <f>INDEX(Input!$C$46:$AM$58,MATCH($A34,Input!$A$46:$A$58,0),MATCH(R$13,Input!$C$45:$AM$45,0))</f>
        <v>0</v>
      </c>
      <c r="S34" s="31">
        <f>IF(VLOOKUP($A34,Input!$A$46:$B$58,2,FALSE)="Percentage",T$22,IF(VLOOKUP($A34,Input!$A$46:$B$58,2,FALSE)="Fixed","Fixed",(S$22)))</f>
        <v>6</v>
      </c>
      <c r="T34" s="25">
        <f t="shared" si="16"/>
        <v>0</v>
      </c>
      <c r="V34" s="173">
        <f>INDEX(Input!$C$46:$AM$58,MATCH($A34,Input!$A$46:$A$58,0),MATCH(V$13,Input!$C$45:$AM$45,0))</f>
        <v>0</v>
      </c>
      <c r="W34" s="31">
        <f>IF(VLOOKUP($A34,Input!$A$46:$B$58,2,FALSE)="Percentage",X$22,IF(VLOOKUP($A34,Input!$A$46:$B$58,2,FALSE)="Fixed","Fixed",(W$22)))</f>
        <v>6</v>
      </c>
      <c r="X34" s="25">
        <f t="shared" si="17"/>
        <v>0</v>
      </c>
      <c r="Z34" s="173">
        <f>INDEX(Input!$C$46:$AM$58,MATCH($A34,Input!$A$46:$A$58,0),MATCH(Z$13,Input!$C$45:$AM$45,0))</f>
        <v>0</v>
      </c>
      <c r="AA34" s="31">
        <f>IF(VLOOKUP($A34,Input!$A$46:$B$58,2,FALSE)="Percentage",AB$22,IF(VLOOKUP($A34,Input!$A$46:$B$58,2,FALSE)="Fixed","Fixed",(AA$22)))</f>
        <v>6</v>
      </c>
      <c r="AB34" s="25">
        <f t="shared" si="18"/>
        <v>0</v>
      </c>
      <c r="AD34" s="173">
        <f>INDEX(Input!$C$46:$AM$58,MATCH($A34,Input!$A$46:$A$58,0),MATCH(AD$13,Input!$C$45:$AM$45,0))</f>
        <v>0</v>
      </c>
      <c r="AE34" s="31">
        <f>IF(VLOOKUP($A34,Input!$A$46:$B$58,2,FALSE)="Percentage",AF$22,IF(VLOOKUP($A34,Input!$A$46:$B$58,2,FALSE)="Fixed","Fixed",(AE$22)))</f>
        <v>6</v>
      </c>
      <c r="AF34" s="25">
        <f t="shared" si="19"/>
        <v>0</v>
      </c>
      <c r="AH34" s="173">
        <f>INDEX(Input!$C$46:$AM$58,MATCH($A34,Input!$A$46:$A$58,0),MATCH(AH$13,Input!$C$45:$AM$45,0))</f>
        <v>0</v>
      </c>
      <c r="AI34" s="31">
        <f>IF(VLOOKUP($A34,Input!$A$46:$B$58,2,FALSE)="Percentage",AJ$22,IF(VLOOKUP($A34,Input!$A$46:$B$58,2,FALSE)="Fixed","Fixed",(AI$22)))</f>
        <v>6</v>
      </c>
      <c r="AJ34" s="25">
        <f t="shared" si="20"/>
        <v>0</v>
      </c>
      <c r="AL34" s="173">
        <f>INDEX(Input!$C$46:$AM$58,MATCH($A34,Input!$A$46:$A$58,0),MATCH(AL$13,Input!$C$45:$AM$45,0))</f>
        <v>0</v>
      </c>
      <c r="AM34" s="31">
        <f>IF(VLOOKUP($A34,Input!$A$46:$B$58,2,FALSE)="Percentage",AN$22,IF(VLOOKUP($A34,Input!$A$46:$B$58,2,FALSE)="Fixed","Fixed",(AM$22)))</f>
        <v>6</v>
      </c>
      <c r="AN34" s="25">
        <f t="shared" si="21"/>
        <v>0</v>
      </c>
      <c r="AP34" s="173">
        <f>INDEX(Input!$C$46:$AM$58,MATCH($A34,Input!$A$46:$A$58,0),MATCH(AP$13,Input!$C$45:$AM$45,0))</f>
        <v>0</v>
      </c>
      <c r="AQ34" s="31">
        <f>IF(VLOOKUP($A34,Input!$A$46:$B$58,2,FALSE)="Percentage",AR$22,IF(VLOOKUP($A34,Input!$A$46:$B$58,2,FALSE)="Fixed","Fixed",(AQ$22)))</f>
        <v>6</v>
      </c>
      <c r="AR34" s="25">
        <f t="shared" si="22"/>
        <v>0</v>
      </c>
      <c r="AS34" s="30"/>
      <c r="AT34" s="173">
        <f>INDEX(Input!$C$46:$AM$58,MATCH($A34,Input!$A$46:$A$58,0),MATCH(AT$13,Input!$C$45:$AM$45,0))</f>
        <v>0</v>
      </c>
      <c r="AU34" s="31">
        <f>IF(VLOOKUP($A34,Input!$A$46:$B$58,2,FALSE)="Percentage",AV$22,IF(VLOOKUP($A34,Input!$A$46:$B$58,2,FALSE)="Fixed","Fixed",(AU$22)))</f>
        <v>6</v>
      </c>
      <c r="AV34" s="25">
        <f t="shared" si="23"/>
        <v>0</v>
      </c>
    </row>
    <row r="35" spans="1:48" x14ac:dyDescent="0.55000000000000004">
      <c r="A35">
        <f>Input!A56</f>
        <v>0</v>
      </c>
      <c r="B35" s="173">
        <f>INDEX(Input!$C$46:$AM$58,MATCH($A35,Input!$A$46:$A$58,0),MATCH(B$13,Input!$C$45:$AM$45,0))</f>
        <v>0</v>
      </c>
      <c r="C35" s="31">
        <f>IF(VLOOKUP($A35,Input!$A$46:$B$58,2,FALSE)="Percentage",D$22,IF(VLOOKUP($A35,Input!$A$46:$B$58,2,FALSE)="Fixed","Fixed",(C$22)))</f>
        <v>6</v>
      </c>
      <c r="D35" s="25">
        <f t="shared" si="12"/>
        <v>0</v>
      </c>
      <c r="F35" s="173">
        <f>INDEX(Input!$C$46:$AM$58,MATCH($A35,Input!$A$46:$A$58,0),MATCH(F$13,Input!$C$45:$AM$45,0))</f>
        <v>0</v>
      </c>
      <c r="G35" s="31">
        <f>IF(VLOOKUP($A35,Input!$A$46:$B$58,2,FALSE)="Percentage",H$22,IF(VLOOKUP($A35,Input!$A$46:$B$58,2,FALSE)="Fixed","Fixed",(G$22)))</f>
        <v>6</v>
      </c>
      <c r="H35" s="25">
        <f t="shared" si="13"/>
        <v>0</v>
      </c>
      <c r="J35" s="173">
        <f>INDEX(Input!$C$46:$AM$58,MATCH($A35,Input!$A$46:$A$58,0),MATCH(J$13,Input!$C$45:$AM$45,0))</f>
        <v>0</v>
      </c>
      <c r="K35" s="31">
        <f>IF(VLOOKUP($A35,Input!$A$46:$B$58,2,FALSE)="Percentage",L$22,IF(VLOOKUP($A35,Input!$A$46:$B$58,2,FALSE)="Fixed","Fixed",(K$22)))</f>
        <v>6</v>
      </c>
      <c r="L35" s="25">
        <f t="shared" si="14"/>
        <v>0</v>
      </c>
      <c r="N35" s="173">
        <f>INDEX(Input!$C$46:$AM$58,MATCH($A35,Input!$A$46:$A$58,0),MATCH(N$13,Input!$C$45:$AM$45,0))</f>
        <v>0</v>
      </c>
      <c r="O35" s="31">
        <f>IF(VLOOKUP($A35,Input!$A$46:$B$58,2,FALSE)="Percentage",P$22,IF(VLOOKUP($A35,Input!$A$46:$B$58,2,FALSE)="Fixed","Fixed",(O$22)))</f>
        <v>6</v>
      </c>
      <c r="P35" s="25">
        <f t="shared" si="15"/>
        <v>0</v>
      </c>
      <c r="R35" s="173">
        <f>INDEX(Input!$C$46:$AM$58,MATCH($A35,Input!$A$46:$A$58,0),MATCH(R$13,Input!$C$45:$AM$45,0))</f>
        <v>0</v>
      </c>
      <c r="S35" s="31">
        <f>IF(VLOOKUP($A35,Input!$A$46:$B$58,2,FALSE)="Percentage",T$22,IF(VLOOKUP($A35,Input!$A$46:$B$58,2,FALSE)="Fixed","Fixed",(S$22)))</f>
        <v>6</v>
      </c>
      <c r="T35" s="25">
        <f t="shared" si="16"/>
        <v>0</v>
      </c>
      <c r="V35" s="173">
        <f>INDEX(Input!$C$46:$AM$58,MATCH($A35,Input!$A$46:$A$58,0),MATCH(V$13,Input!$C$45:$AM$45,0))</f>
        <v>0</v>
      </c>
      <c r="W35" s="31">
        <f>IF(VLOOKUP($A35,Input!$A$46:$B$58,2,FALSE)="Percentage",X$22,IF(VLOOKUP($A35,Input!$A$46:$B$58,2,FALSE)="Fixed","Fixed",(W$22)))</f>
        <v>6</v>
      </c>
      <c r="X35" s="25">
        <f t="shared" si="17"/>
        <v>0</v>
      </c>
      <c r="Z35" s="173">
        <f>INDEX(Input!$C$46:$AM$58,MATCH($A35,Input!$A$46:$A$58,0),MATCH(Z$13,Input!$C$45:$AM$45,0))</f>
        <v>0</v>
      </c>
      <c r="AA35" s="31">
        <f>IF(VLOOKUP($A35,Input!$A$46:$B$58,2,FALSE)="Percentage",AB$22,IF(VLOOKUP($A35,Input!$A$46:$B$58,2,FALSE)="Fixed","Fixed",(AA$22)))</f>
        <v>6</v>
      </c>
      <c r="AB35" s="25">
        <f t="shared" si="18"/>
        <v>0</v>
      </c>
      <c r="AD35" s="173">
        <f>INDEX(Input!$C$46:$AM$58,MATCH($A35,Input!$A$46:$A$58,0),MATCH(AD$13,Input!$C$45:$AM$45,0))</f>
        <v>0</v>
      </c>
      <c r="AE35" s="31">
        <f>IF(VLOOKUP($A35,Input!$A$46:$B$58,2,FALSE)="Percentage",AF$22,IF(VLOOKUP($A35,Input!$A$46:$B$58,2,FALSE)="Fixed","Fixed",(AE$22)))</f>
        <v>6</v>
      </c>
      <c r="AF35" s="25">
        <f t="shared" si="19"/>
        <v>0</v>
      </c>
      <c r="AH35" s="173">
        <f>INDEX(Input!$C$46:$AM$58,MATCH($A35,Input!$A$46:$A$58,0),MATCH(AH$13,Input!$C$45:$AM$45,0))</f>
        <v>0</v>
      </c>
      <c r="AI35" s="31">
        <f>IF(VLOOKUP($A35,Input!$A$46:$B$58,2,FALSE)="Percentage",AJ$22,IF(VLOOKUP($A35,Input!$A$46:$B$58,2,FALSE)="Fixed","Fixed",(AI$22)))</f>
        <v>6</v>
      </c>
      <c r="AJ35" s="25">
        <f t="shared" si="20"/>
        <v>0</v>
      </c>
      <c r="AL35" s="173">
        <f>INDEX(Input!$C$46:$AM$58,MATCH($A35,Input!$A$46:$A$58,0),MATCH(AL$13,Input!$C$45:$AM$45,0))</f>
        <v>0</v>
      </c>
      <c r="AM35" s="31">
        <f>IF(VLOOKUP($A35,Input!$A$46:$B$58,2,FALSE)="Percentage",AN$22,IF(VLOOKUP($A35,Input!$A$46:$B$58,2,FALSE)="Fixed","Fixed",(AM$22)))</f>
        <v>6</v>
      </c>
      <c r="AN35" s="25">
        <f t="shared" si="21"/>
        <v>0</v>
      </c>
      <c r="AP35" s="173">
        <f>INDEX(Input!$C$46:$AM$58,MATCH($A35,Input!$A$46:$A$58,0),MATCH(AP$13,Input!$C$45:$AM$45,0))</f>
        <v>0</v>
      </c>
      <c r="AQ35" s="31">
        <f>IF(VLOOKUP($A35,Input!$A$46:$B$58,2,FALSE)="Percentage",AR$22,IF(VLOOKUP($A35,Input!$A$46:$B$58,2,FALSE)="Fixed","Fixed",(AQ$22)))</f>
        <v>6</v>
      </c>
      <c r="AR35" s="25">
        <f t="shared" si="22"/>
        <v>0</v>
      </c>
      <c r="AS35" s="30"/>
      <c r="AT35" s="173">
        <f>INDEX(Input!$C$46:$AM$58,MATCH($A35,Input!$A$46:$A$58,0),MATCH(AT$13,Input!$C$45:$AM$45,0))</f>
        <v>0</v>
      </c>
      <c r="AU35" s="31">
        <f>IF(VLOOKUP($A35,Input!$A$46:$B$58,2,FALSE)="Percentage",AV$22,IF(VLOOKUP($A35,Input!$A$46:$B$58,2,FALSE)="Fixed","Fixed",(AU$22)))</f>
        <v>6</v>
      </c>
      <c r="AV35" s="25">
        <f t="shared" si="23"/>
        <v>0</v>
      </c>
    </row>
    <row r="36" spans="1:48" x14ac:dyDescent="0.55000000000000004">
      <c r="A36">
        <f>Input!A57</f>
        <v>0</v>
      </c>
      <c r="B36" s="173">
        <f>INDEX(Input!$C$46:$AM$58,MATCH($A36,Input!$A$46:$A$58,0),MATCH(B$13,Input!$C$45:$AM$45,0))</f>
        <v>0</v>
      </c>
      <c r="C36" s="31">
        <f>IF(VLOOKUP($A36,Input!$A$46:$B$58,2,FALSE)="Percentage",D$22,IF(VLOOKUP($A36,Input!$A$46:$B$58,2,FALSE)="Fixed","Fixed",(C$22)))</f>
        <v>6</v>
      </c>
      <c r="D36" s="25">
        <f t="shared" si="12"/>
        <v>0</v>
      </c>
      <c r="F36" s="173">
        <f>INDEX(Input!$C$46:$AM$58,MATCH($A36,Input!$A$46:$A$58,0),MATCH(F$13,Input!$C$45:$AM$45,0))</f>
        <v>0</v>
      </c>
      <c r="G36" s="31">
        <f>IF(VLOOKUP($A36,Input!$A$46:$B$58,2,FALSE)="Percentage",H$22,IF(VLOOKUP($A36,Input!$A$46:$B$58,2,FALSE)="Fixed","Fixed",(G$22)))</f>
        <v>6</v>
      </c>
      <c r="H36" s="25">
        <f t="shared" si="13"/>
        <v>0</v>
      </c>
      <c r="J36" s="173">
        <f>INDEX(Input!$C$46:$AM$58,MATCH($A36,Input!$A$46:$A$58,0),MATCH(J$13,Input!$C$45:$AM$45,0))</f>
        <v>0</v>
      </c>
      <c r="K36" s="31">
        <f>IF(VLOOKUP($A36,Input!$A$46:$B$58,2,FALSE)="Percentage",L$22,IF(VLOOKUP($A36,Input!$A$46:$B$58,2,FALSE)="Fixed","Fixed",(K$22)))</f>
        <v>6</v>
      </c>
      <c r="L36" s="25">
        <f t="shared" si="14"/>
        <v>0</v>
      </c>
      <c r="N36" s="173">
        <f>INDEX(Input!$C$46:$AM$58,MATCH($A36,Input!$A$46:$A$58,0),MATCH(N$13,Input!$C$45:$AM$45,0))</f>
        <v>0</v>
      </c>
      <c r="O36" s="31">
        <f>IF(VLOOKUP($A36,Input!$A$46:$B$58,2,FALSE)="Percentage",P$22,IF(VLOOKUP($A36,Input!$A$46:$B$58,2,FALSE)="Fixed","Fixed",(O$22)))</f>
        <v>6</v>
      </c>
      <c r="P36" s="25">
        <f t="shared" si="15"/>
        <v>0</v>
      </c>
      <c r="R36" s="173">
        <f>INDEX(Input!$C$46:$AM$58,MATCH($A36,Input!$A$46:$A$58,0),MATCH(R$13,Input!$C$45:$AM$45,0))</f>
        <v>0</v>
      </c>
      <c r="S36" s="31">
        <f>IF(VLOOKUP($A36,Input!$A$46:$B$58,2,FALSE)="Percentage",T$22,IF(VLOOKUP($A36,Input!$A$46:$B$58,2,FALSE)="Fixed","Fixed",(S$22)))</f>
        <v>6</v>
      </c>
      <c r="T36" s="25">
        <f t="shared" si="16"/>
        <v>0</v>
      </c>
      <c r="V36" s="173">
        <f>INDEX(Input!$C$46:$AM$58,MATCH($A36,Input!$A$46:$A$58,0),MATCH(V$13,Input!$C$45:$AM$45,0))</f>
        <v>0</v>
      </c>
      <c r="W36" s="31">
        <f>IF(VLOOKUP($A36,Input!$A$46:$B$58,2,FALSE)="Percentage",X$22,IF(VLOOKUP($A36,Input!$A$46:$B$58,2,FALSE)="Fixed","Fixed",(W$22)))</f>
        <v>6</v>
      </c>
      <c r="X36" s="25">
        <f t="shared" si="17"/>
        <v>0</v>
      </c>
      <c r="Z36" s="173">
        <f>INDEX(Input!$C$46:$AM$58,MATCH($A36,Input!$A$46:$A$58,0),MATCH(Z$13,Input!$C$45:$AM$45,0))</f>
        <v>0</v>
      </c>
      <c r="AA36" s="31">
        <f>IF(VLOOKUP($A36,Input!$A$46:$B$58,2,FALSE)="Percentage",AB$22,IF(VLOOKUP($A36,Input!$A$46:$B$58,2,FALSE)="Fixed","Fixed",(AA$22)))</f>
        <v>6</v>
      </c>
      <c r="AB36" s="25">
        <f t="shared" si="18"/>
        <v>0</v>
      </c>
      <c r="AD36" s="173">
        <f>INDEX(Input!$C$46:$AM$58,MATCH($A36,Input!$A$46:$A$58,0),MATCH(AD$13,Input!$C$45:$AM$45,0))</f>
        <v>0</v>
      </c>
      <c r="AE36" s="31">
        <f>IF(VLOOKUP($A36,Input!$A$46:$B$58,2,FALSE)="Percentage",AF$22,IF(VLOOKUP($A36,Input!$A$46:$B$58,2,FALSE)="Fixed","Fixed",(AE$22)))</f>
        <v>6</v>
      </c>
      <c r="AF36" s="25">
        <f t="shared" si="19"/>
        <v>0</v>
      </c>
      <c r="AH36" s="173">
        <f>INDEX(Input!$C$46:$AM$58,MATCH($A36,Input!$A$46:$A$58,0),MATCH(AH$13,Input!$C$45:$AM$45,0))</f>
        <v>0</v>
      </c>
      <c r="AI36" s="31">
        <f>IF(VLOOKUP($A36,Input!$A$46:$B$58,2,FALSE)="Percentage",AJ$22,IF(VLOOKUP($A36,Input!$A$46:$B$58,2,FALSE)="Fixed","Fixed",(AI$22)))</f>
        <v>6</v>
      </c>
      <c r="AJ36" s="25">
        <f t="shared" si="20"/>
        <v>0</v>
      </c>
      <c r="AL36" s="173">
        <f>INDEX(Input!$C$46:$AM$58,MATCH($A36,Input!$A$46:$A$58,0),MATCH(AL$13,Input!$C$45:$AM$45,0))</f>
        <v>0</v>
      </c>
      <c r="AM36" s="31">
        <f>IF(VLOOKUP($A36,Input!$A$46:$B$58,2,FALSE)="Percentage",AN$22,IF(VLOOKUP($A36,Input!$A$46:$B$58,2,FALSE)="Fixed","Fixed",(AM$22)))</f>
        <v>6</v>
      </c>
      <c r="AN36" s="25">
        <f t="shared" si="21"/>
        <v>0</v>
      </c>
      <c r="AP36" s="173">
        <f>INDEX(Input!$C$46:$AM$58,MATCH($A36,Input!$A$46:$A$58,0),MATCH(AP$13,Input!$C$45:$AM$45,0))</f>
        <v>0</v>
      </c>
      <c r="AQ36" s="31">
        <f>IF(VLOOKUP($A36,Input!$A$46:$B$58,2,FALSE)="Percentage",AR$22,IF(VLOOKUP($A36,Input!$A$46:$B$58,2,FALSE)="Fixed","Fixed",(AQ$22)))</f>
        <v>6</v>
      </c>
      <c r="AR36" s="25">
        <f t="shared" si="22"/>
        <v>0</v>
      </c>
      <c r="AS36" s="30"/>
      <c r="AT36" s="173">
        <f>INDEX(Input!$C$46:$AM$58,MATCH($A36,Input!$A$46:$A$58,0),MATCH(AT$13,Input!$C$45:$AM$45,0))</f>
        <v>0</v>
      </c>
      <c r="AU36" s="31">
        <f>IF(VLOOKUP($A36,Input!$A$46:$B$58,2,FALSE)="Percentage",AV$22,IF(VLOOKUP($A36,Input!$A$46:$B$58,2,FALSE)="Fixed","Fixed",(AU$22)))</f>
        <v>6</v>
      </c>
      <c r="AV36" s="25">
        <f t="shared" si="23"/>
        <v>0</v>
      </c>
    </row>
    <row r="37" spans="1:48" x14ac:dyDescent="0.55000000000000004">
      <c r="A37">
        <f>Input!A58</f>
        <v>0</v>
      </c>
      <c r="B37" s="173">
        <f>INDEX(Input!$C$46:$AM$58,MATCH($A37,Input!$A$46:$A$58,0),MATCH(B$13,Input!$C$45:$AM$45,0))</f>
        <v>0</v>
      </c>
      <c r="C37" s="31">
        <f>IF(VLOOKUP($A37,Input!$A$46:$B$58,2,FALSE)="Percentage",D$22,IF(VLOOKUP($A37,Input!$A$46:$B$58,2,FALSE)="Fixed","Fixed",(C$22)))</f>
        <v>6</v>
      </c>
      <c r="D37" s="25">
        <f t="shared" si="12"/>
        <v>0</v>
      </c>
      <c r="F37" s="173">
        <f>INDEX(Input!$C$46:$AM$58,MATCH($A37,Input!$A$46:$A$58,0),MATCH(F$13,Input!$C$45:$AM$45,0))</f>
        <v>0</v>
      </c>
      <c r="G37" s="31">
        <f>IF(VLOOKUP($A37,Input!$A$46:$B$58,2,FALSE)="Percentage",H$22,IF(VLOOKUP($A37,Input!$A$46:$B$58,2,FALSE)="Fixed","Fixed",(G$22)))</f>
        <v>6</v>
      </c>
      <c r="H37" s="25">
        <f t="shared" si="13"/>
        <v>0</v>
      </c>
      <c r="J37" s="173">
        <f>INDEX(Input!$C$46:$AM$58,MATCH($A37,Input!$A$46:$A$58,0),MATCH(J$13,Input!$C$45:$AM$45,0))</f>
        <v>0</v>
      </c>
      <c r="K37" s="31">
        <f>IF(VLOOKUP($A37,Input!$A$46:$B$58,2,FALSE)="Percentage",L$22,IF(VLOOKUP($A37,Input!$A$46:$B$58,2,FALSE)="Fixed","Fixed",(K$22)))</f>
        <v>6</v>
      </c>
      <c r="L37" s="25">
        <f t="shared" si="14"/>
        <v>0</v>
      </c>
      <c r="N37" s="173">
        <f>INDEX(Input!$C$46:$AM$58,MATCH($A37,Input!$A$46:$A$58,0),MATCH(N$13,Input!$C$45:$AM$45,0))</f>
        <v>0</v>
      </c>
      <c r="O37" s="31">
        <f>IF(VLOOKUP($A37,Input!$A$46:$B$58,2,FALSE)="Percentage",P$22,IF(VLOOKUP($A37,Input!$A$46:$B$58,2,FALSE)="Fixed","Fixed",(O$22)))</f>
        <v>6</v>
      </c>
      <c r="P37" s="25">
        <f t="shared" si="15"/>
        <v>0</v>
      </c>
      <c r="R37" s="173">
        <f>INDEX(Input!$C$46:$AM$58,MATCH($A37,Input!$A$46:$A$58,0),MATCH(R$13,Input!$C$45:$AM$45,0))</f>
        <v>0</v>
      </c>
      <c r="S37" s="31">
        <f>IF(VLOOKUP($A37,Input!$A$46:$B$58,2,FALSE)="Percentage",T$22,IF(VLOOKUP($A37,Input!$A$46:$B$58,2,FALSE)="Fixed","Fixed",(S$22)))</f>
        <v>6</v>
      </c>
      <c r="T37" s="25">
        <f t="shared" si="16"/>
        <v>0</v>
      </c>
      <c r="V37" s="173">
        <f>INDEX(Input!$C$46:$AM$58,MATCH($A37,Input!$A$46:$A$58,0),MATCH(V$13,Input!$C$45:$AM$45,0))</f>
        <v>0</v>
      </c>
      <c r="W37" s="31">
        <f>IF(VLOOKUP($A37,Input!$A$46:$B$58,2,FALSE)="Percentage",X$22,IF(VLOOKUP($A37,Input!$A$46:$B$58,2,FALSE)="Fixed","Fixed",(W$22)))</f>
        <v>6</v>
      </c>
      <c r="X37" s="25">
        <f t="shared" si="17"/>
        <v>0</v>
      </c>
      <c r="Z37" s="173">
        <f>INDEX(Input!$C$46:$AM$58,MATCH($A37,Input!$A$46:$A$58,0),MATCH(Z$13,Input!$C$45:$AM$45,0))</f>
        <v>0</v>
      </c>
      <c r="AA37" s="31">
        <f>IF(VLOOKUP($A37,Input!$A$46:$B$58,2,FALSE)="Percentage",AB$22,IF(VLOOKUP($A37,Input!$A$46:$B$58,2,FALSE)="Fixed","Fixed",(AA$22)))</f>
        <v>6</v>
      </c>
      <c r="AB37" s="25">
        <f t="shared" si="18"/>
        <v>0</v>
      </c>
      <c r="AD37" s="173">
        <f>INDEX(Input!$C$46:$AM$58,MATCH($A37,Input!$A$46:$A$58,0),MATCH(AD$13,Input!$C$45:$AM$45,0))</f>
        <v>0</v>
      </c>
      <c r="AE37" s="31">
        <f>IF(VLOOKUP($A37,Input!$A$46:$B$58,2,FALSE)="Percentage",AF$22,IF(VLOOKUP($A37,Input!$A$46:$B$58,2,FALSE)="Fixed","Fixed",(AE$22)))</f>
        <v>6</v>
      </c>
      <c r="AF37" s="25">
        <f t="shared" si="19"/>
        <v>0</v>
      </c>
      <c r="AH37" s="173">
        <f>INDEX(Input!$C$46:$AM$58,MATCH($A37,Input!$A$46:$A$58,0),MATCH(AH$13,Input!$C$45:$AM$45,0))</f>
        <v>0</v>
      </c>
      <c r="AI37" s="31">
        <f>IF(VLOOKUP($A37,Input!$A$46:$B$58,2,FALSE)="Percentage",AJ$22,IF(VLOOKUP($A37,Input!$A$46:$B$58,2,FALSE)="Fixed","Fixed",(AI$22)))</f>
        <v>6</v>
      </c>
      <c r="AJ37" s="25">
        <f t="shared" si="20"/>
        <v>0</v>
      </c>
      <c r="AL37" s="173">
        <f>INDEX(Input!$C$46:$AM$58,MATCH($A37,Input!$A$46:$A$58,0),MATCH(AL$13,Input!$C$45:$AM$45,0))</f>
        <v>0</v>
      </c>
      <c r="AM37" s="31">
        <f>IF(VLOOKUP($A37,Input!$A$46:$B$58,2,FALSE)="Percentage",AN$22,IF(VLOOKUP($A37,Input!$A$46:$B$58,2,FALSE)="Fixed","Fixed",(AM$22)))</f>
        <v>6</v>
      </c>
      <c r="AN37" s="25">
        <f t="shared" si="21"/>
        <v>0</v>
      </c>
      <c r="AP37" s="173">
        <f>INDEX(Input!$C$46:$AM$58,MATCH($A37,Input!$A$46:$A$58,0),MATCH(AP$13,Input!$C$45:$AM$45,0))</f>
        <v>0</v>
      </c>
      <c r="AQ37" s="31">
        <f>IF(VLOOKUP($A37,Input!$A$46:$B$58,2,FALSE)="Percentage",AR$22,IF(VLOOKUP($A37,Input!$A$46:$B$58,2,FALSE)="Fixed","Fixed",(AQ$22)))</f>
        <v>6</v>
      </c>
      <c r="AR37" s="25">
        <f t="shared" si="22"/>
        <v>0</v>
      </c>
      <c r="AS37" s="30"/>
      <c r="AT37" s="173">
        <f>INDEX(Input!$C$46:$AM$58,MATCH($A37,Input!$A$46:$A$58,0),MATCH(AT$13,Input!$C$45:$AM$45,0))</f>
        <v>0</v>
      </c>
      <c r="AU37" s="31">
        <f>IF(VLOOKUP($A37,Input!$A$46:$B$58,2,FALSE)="Percentage",AV$22,IF(VLOOKUP($A37,Input!$A$46:$B$58,2,FALSE)="Fixed","Fixed",(AU$22)))</f>
        <v>6</v>
      </c>
      <c r="AV37" s="25">
        <f t="shared" si="23"/>
        <v>0</v>
      </c>
    </row>
    <row r="38" spans="1:48" x14ac:dyDescent="0.55000000000000004">
      <c r="A38" t="s">
        <v>39</v>
      </c>
      <c r="B38" s="16"/>
      <c r="C38" s="17"/>
      <c r="D38" s="26">
        <f>SUM(D25:D37)</f>
        <v>4.2</v>
      </c>
      <c r="F38" s="16"/>
      <c r="G38" s="17"/>
      <c r="H38" s="26">
        <f>SUM(H25:H37)</f>
        <v>4.2</v>
      </c>
      <c r="J38" s="16"/>
      <c r="K38" s="17"/>
      <c r="L38" s="26">
        <f>SUM(L25:L37)</f>
        <v>4.2</v>
      </c>
      <c r="N38" s="16"/>
      <c r="O38" s="17"/>
      <c r="P38" s="26">
        <f>SUM(P25:P37)</f>
        <v>4.2</v>
      </c>
      <c r="R38" s="16"/>
      <c r="S38" s="17"/>
      <c r="T38" s="26">
        <f>SUM(T25:T37)</f>
        <v>4.2</v>
      </c>
      <c r="V38" s="16"/>
      <c r="W38" s="17"/>
      <c r="X38" s="26">
        <f>SUM(X25:X37)</f>
        <v>4.2</v>
      </c>
      <c r="Z38" s="16"/>
      <c r="AA38" s="17"/>
      <c r="AB38" s="26">
        <f>SUM(AB25:AB37)</f>
        <v>4.2</v>
      </c>
      <c r="AD38" s="16"/>
      <c r="AE38" s="17"/>
      <c r="AF38" s="26">
        <f>SUM(AF25:AF37)</f>
        <v>4.2</v>
      </c>
      <c r="AH38" s="16"/>
      <c r="AI38" s="17"/>
      <c r="AJ38" s="26">
        <f>SUM(AJ25:AJ37)</f>
        <v>4.1500000000000004</v>
      </c>
      <c r="AL38" s="16"/>
      <c r="AM38" s="17"/>
      <c r="AN38" s="26">
        <f>SUM(AN25:AN37)</f>
        <v>4.1500000000000004</v>
      </c>
      <c r="AP38" s="16"/>
      <c r="AQ38" s="17"/>
      <c r="AR38" s="26">
        <f>SUM(AR25:AR37)</f>
        <v>4.1500000000000004</v>
      </c>
      <c r="AS38" s="64"/>
      <c r="AT38" s="16"/>
      <c r="AU38" s="17"/>
      <c r="AV38" s="26">
        <f>SUM(AV25:AV37)</f>
        <v>4.1500000000000004</v>
      </c>
    </row>
    <row r="39" spans="1:48" x14ac:dyDescent="0.55000000000000004">
      <c r="B39" s="16"/>
      <c r="C39" s="17"/>
      <c r="D39" s="19"/>
      <c r="F39" s="16"/>
      <c r="G39" s="17"/>
      <c r="H39" s="19"/>
      <c r="J39" s="16"/>
      <c r="K39" s="17"/>
      <c r="L39" s="19"/>
      <c r="N39" s="16"/>
      <c r="O39" s="17"/>
      <c r="P39" s="19"/>
      <c r="R39" s="16"/>
      <c r="S39" s="17"/>
      <c r="T39" s="19"/>
      <c r="V39" s="16"/>
      <c r="W39" s="17"/>
      <c r="X39" s="19"/>
      <c r="Z39" s="16"/>
      <c r="AA39" s="17"/>
      <c r="AB39" s="19"/>
      <c r="AD39" s="16"/>
      <c r="AE39" s="17"/>
      <c r="AF39" s="19"/>
      <c r="AH39" s="16"/>
      <c r="AI39" s="17"/>
      <c r="AJ39" s="19"/>
      <c r="AL39" s="16"/>
      <c r="AM39" s="17"/>
      <c r="AN39" s="19"/>
      <c r="AP39" s="16"/>
      <c r="AQ39" s="17"/>
      <c r="AR39" s="19"/>
      <c r="AS39" s="17"/>
      <c r="AT39" s="16"/>
      <c r="AU39" s="17"/>
      <c r="AV39" s="19"/>
    </row>
    <row r="40" spans="1:48" x14ac:dyDescent="0.55000000000000004">
      <c r="A40" s="1" t="s">
        <v>35</v>
      </c>
      <c r="B40" s="20" t="s">
        <v>29</v>
      </c>
      <c r="C40" s="21" t="s">
        <v>45</v>
      </c>
      <c r="D40" s="22" t="s">
        <v>30</v>
      </c>
      <c r="F40" s="20" t="s">
        <v>29</v>
      </c>
      <c r="G40" s="21" t="s">
        <v>45</v>
      </c>
      <c r="H40" s="111" t="s">
        <v>30</v>
      </c>
      <c r="J40" s="20" t="s">
        <v>29</v>
      </c>
      <c r="K40" s="21" t="s">
        <v>45</v>
      </c>
      <c r="L40" s="111" t="s">
        <v>30</v>
      </c>
      <c r="N40" s="20" t="s">
        <v>29</v>
      </c>
      <c r="O40" s="21" t="s">
        <v>45</v>
      </c>
      <c r="P40" s="111" t="s">
        <v>30</v>
      </c>
      <c r="R40" s="20" t="s">
        <v>29</v>
      </c>
      <c r="S40" s="21" t="s">
        <v>45</v>
      </c>
      <c r="T40" s="111" t="s">
        <v>30</v>
      </c>
      <c r="V40" s="20" t="s">
        <v>29</v>
      </c>
      <c r="W40" s="21" t="s">
        <v>45</v>
      </c>
      <c r="X40" s="111" t="s">
        <v>30</v>
      </c>
      <c r="Z40" s="20" t="s">
        <v>29</v>
      </c>
      <c r="AA40" s="21" t="s">
        <v>45</v>
      </c>
      <c r="AB40" s="111" t="s">
        <v>30</v>
      </c>
      <c r="AD40" s="20" t="s">
        <v>29</v>
      </c>
      <c r="AE40" s="21" t="s">
        <v>45</v>
      </c>
      <c r="AF40" s="111" t="s">
        <v>30</v>
      </c>
      <c r="AH40" s="20" t="s">
        <v>29</v>
      </c>
      <c r="AI40" s="21" t="s">
        <v>45</v>
      </c>
      <c r="AJ40" s="111" t="s">
        <v>30</v>
      </c>
      <c r="AL40" s="20" t="s">
        <v>29</v>
      </c>
      <c r="AM40" s="21" t="s">
        <v>45</v>
      </c>
      <c r="AN40" s="111" t="s">
        <v>30</v>
      </c>
      <c r="AP40" s="20" t="s">
        <v>29</v>
      </c>
      <c r="AQ40" s="21" t="s">
        <v>45</v>
      </c>
      <c r="AR40" s="111" t="s">
        <v>30</v>
      </c>
      <c r="AS40" s="170"/>
      <c r="AT40" s="20" t="s">
        <v>29</v>
      </c>
      <c r="AU40" s="21" t="s">
        <v>45</v>
      </c>
      <c r="AV40" s="111" t="s">
        <v>30</v>
      </c>
    </row>
    <row r="41" spans="1:48" x14ac:dyDescent="0.55000000000000004">
      <c r="A41" t="str">
        <f>+Input!A77</f>
        <v>CPUC Fee</v>
      </c>
      <c r="B41" s="29">
        <f>INDEX(Input!$C$77:$AL$82,MATCH('Residential Bills_Yr 1_avg'!$A$41,Input!$A$77:$A$82,0),MATCH('Residential Bills_Yr 1_avg'!B13:D13,Input!$C$76:$AL$76,0))</f>
        <v>1.43E-2</v>
      </c>
      <c r="C41" s="30">
        <f>D22+D38</f>
        <v>82.100000000000009</v>
      </c>
      <c r="D41" s="25">
        <f>ROUND(B41*C41,2)</f>
        <v>1.17</v>
      </c>
      <c r="F41" s="29">
        <f>INDEX(Input!$C$77:$AL$82,MATCH('Residential Bills_Yr 1_avg'!$A$41,Input!$A$77:$A$82,0),MATCH('Residential Bills_Yr 1_avg'!F13:H13,Input!$C$76:$AL$76,0))</f>
        <v>1.43E-2</v>
      </c>
      <c r="G41" s="30">
        <f>H22+H38</f>
        <v>82.100000000000009</v>
      </c>
      <c r="H41" s="25">
        <f>ROUND(F41*G41,2)</f>
        <v>1.17</v>
      </c>
      <c r="J41" s="29">
        <f>INDEX(Input!$C$77:$AL$82,MATCH('Residential Bills_Yr 1_avg'!$A$41,Input!$A$77:$A$82,0),MATCH('Residential Bills_Yr 1_avg'!J13:L13,Input!$C$76:$AL$76,0))</f>
        <v>1.43E-2</v>
      </c>
      <c r="K41" s="30">
        <f>L22+L38</f>
        <v>82.100000000000009</v>
      </c>
      <c r="L41" s="25">
        <f>ROUND(J41*K41,2)</f>
        <v>1.17</v>
      </c>
      <c r="N41" s="29">
        <f>INDEX(Input!$C$77:$AL$82,MATCH('Residential Bills_Yr 1_avg'!$A$41,Input!$A$77:$A$82,0),MATCH('Residential Bills_Yr 1_avg'!N13:P13,Input!$C$76:$AL$76,0))</f>
        <v>1.43E-2</v>
      </c>
      <c r="O41" s="30">
        <f>P22+P38</f>
        <v>82.100000000000009</v>
      </c>
      <c r="P41" s="25">
        <f>ROUND(N41*O41,2)</f>
        <v>1.17</v>
      </c>
      <c r="R41" s="29">
        <f>INDEX(Input!$C$77:$AL$82,MATCH('Residential Bills_Yr 1_avg'!$A$41,Input!$A$77:$A$82,0),MATCH('Residential Bills_Yr 1_avg'!R13:T13,Input!$C$76:$AL$76,0))</f>
        <v>1.43E-2</v>
      </c>
      <c r="S41" s="30">
        <f>T22+T38</f>
        <v>82.100000000000009</v>
      </c>
      <c r="T41" s="25">
        <f>ROUND(R41*S41,2)</f>
        <v>1.17</v>
      </c>
      <c r="V41" s="29">
        <f>INDEX(Input!$C$77:$AL$82,MATCH('Residential Bills_Yr 1_avg'!$A$41,Input!$A$77:$A$82,0),MATCH('Residential Bills_Yr 1_avg'!V13:X13,Input!$C$76:$AL$76,0))</f>
        <v>1.43E-2</v>
      </c>
      <c r="W41" s="30">
        <f>X22+X38</f>
        <v>82.100000000000009</v>
      </c>
      <c r="X41" s="25">
        <f>ROUND(V41*W41,2)</f>
        <v>1.17</v>
      </c>
      <c r="Z41" s="29">
        <f>INDEX(Input!$C$77:$AL$82,MATCH('Residential Bills_Yr 1_avg'!$A$41,Input!$A$77:$A$82,0),MATCH('Residential Bills_Yr 1_avg'!Z13:AB13,Input!$C$76:$AL$76,0))</f>
        <v>1.43E-2</v>
      </c>
      <c r="AA41" s="30">
        <f>AB22+AB38</f>
        <v>82.100000000000009</v>
      </c>
      <c r="AB41" s="25">
        <f>ROUND(Z41*AA41,2)</f>
        <v>1.17</v>
      </c>
      <c r="AD41" s="29">
        <f>INDEX(Input!$C$77:$AL$82,MATCH('Residential Bills_Yr 1_avg'!$A$41,Input!$A$77:$A$82,0),MATCH('Residential Bills_Yr 1_avg'!AD13:AF13,Input!$C$76:$AL$76,0))</f>
        <v>1.43E-2</v>
      </c>
      <c r="AE41" s="30">
        <f>AF22+AF38</f>
        <v>82.100000000000009</v>
      </c>
      <c r="AF41" s="25">
        <f>ROUND(AD41*AE41,2)</f>
        <v>1.17</v>
      </c>
      <c r="AH41" s="29">
        <f>INDEX(Input!$C$77:$AL$82,MATCH('Residential Bills_Yr 1_avg'!$A$41,Input!$A$77:$A$82,0),MATCH('Residential Bills_Yr 1_avg'!AH13:AJ13,Input!$C$76:$AL$76,0))</f>
        <v>1.43E-2</v>
      </c>
      <c r="AI41" s="30">
        <f>AJ22+AJ38</f>
        <v>82.050000000000011</v>
      </c>
      <c r="AJ41" s="25">
        <f>ROUND(AH41*AI41,2)</f>
        <v>1.17</v>
      </c>
      <c r="AL41" s="29">
        <f>INDEX(Input!$C$77:$AL$82,MATCH('Residential Bills_Yr 1_avg'!$A$41,Input!$A$77:$A$82,0),MATCH('Residential Bills_Yr 1_avg'!AL13:AN13,Input!$C$76:$AL$76,0))</f>
        <v>1.43E-2</v>
      </c>
      <c r="AM41" s="30">
        <f>AN22+AN38</f>
        <v>82.050000000000011</v>
      </c>
      <c r="AN41" s="25">
        <f>ROUND(AL41*AM41,2)</f>
        <v>1.17</v>
      </c>
      <c r="AP41" s="29">
        <f>INDEX(Input!$C$77:$AL$82,MATCH('Residential Bills_Yr 1_avg'!$A$41,Input!$A$77:$A$82,0),MATCH('Residential Bills_Yr 1_avg'!AP13:AR13,Input!$C$76:$AL$76,0))</f>
        <v>1.43E-2</v>
      </c>
      <c r="AQ41" s="30">
        <f>AR22+AR38</f>
        <v>82.050000000000011</v>
      </c>
      <c r="AR41" s="25">
        <f>ROUND(AP41*AQ41,2)</f>
        <v>1.17</v>
      </c>
      <c r="AS41" s="30"/>
      <c r="AT41" s="29">
        <f>INDEX(Input!$C$77:$AL$82,MATCH('Residential Bills_Yr 1_avg'!$A$41,Input!$A$77:$A$82,0),MATCH('Residential Bills_Yr 1_avg'!AT13:AV13,Input!$C$76:$AL$76,0))</f>
        <v>1.43E-2</v>
      </c>
      <c r="AU41" s="30">
        <f>AV22+AV38</f>
        <v>82.050000000000011</v>
      </c>
      <c r="AV41" s="25">
        <f>ROUND(AT41*AU41,2)</f>
        <v>1.17</v>
      </c>
    </row>
    <row r="42" spans="1:48" ht="14.5" customHeight="1" x14ac:dyDescent="0.55000000000000004">
      <c r="A42" t="str">
        <f>+Input!A78</f>
        <v>CSJ UTT</v>
      </c>
      <c r="B42" s="29">
        <f>INDEX(Input!$C$77:$AL$82,MATCH('Residential Bills_Yr 1_avg'!$A$42,Input!$A$77:$A$82,0),MATCH('Residential Bills_Yr 1_avg'!B13,Input!$C$76:$AL$76,0))</f>
        <v>0.05</v>
      </c>
      <c r="C42" s="30">
        <f>D22+D38+D41</f>
        <v>83.27000000000001</v>
      </c>
      <c r="D42" s="25">
        <f>ROUND(B42*C42,2)</f>
        <v>4.16</v>
      </c>
      <c r="F42" s="29">
        <f>INDEX(Input!$C$77:$AL$82,MATCH('Residential Bills_Yr 1_avg'!$A$42,Input!$A$77:$A$82,0),MATCH('Residential Bills_Yr 1_avg'!F13,Input!$C$76:$AL$76,0))</f>
        <v>0.05</v>
      </c>
      <c r="G42" s="30">
        <f>H22+H38+H41</f>
        <v>83.27000000000001</v>
      </c>
      <c r="H42" s="25">
        <f>ROUND(F42*G42,2)</f>
        <v>4.16</v>
      </c>
      <c r="J42" s="29">
        <f>INDEX(Input!$C$77:$AL$82,MATCH('Residential Bills_Yr 1_avg'!$A$42,Input!$A$77:$A$82,0),MATCH('Residential Bills_Yr 1_avg'!J13,Input!$C$76:$AL$76,0))</f>
        <v>0.05</v>
      </c>
      <c r="K42" s="30">
        <f>L22+L38+L41</f>
        <v>83.27000000000001</v>
      </c>
      <c r="L42" s="25">
        <f>ROUND(J42*K42,2)</f>
        <v>4.16</v>
      </c>
      <c r="N42" s="29">
        <f>INDEX(Input!$C$77:$AL$82,MATCH('Residential Bills_Yr 1_avg'!$A$42,Input!$A$77:$A$82,0),MATCH('Residential Bills_Yr 1_avg'!N13,Input!$C$76:$AL$76,0))</f>
        <v>0.05</v>
      </c>
      <c r="O42" s="30">
        <f>P22+P38+P41</f>
        <v>83.27000000000001</v>
      </c>
      <c r="P42" s="25">
        <f>ROUND(N42*O42,2)</f>
        <v>4.16</v>
      </c>
      <c r="R42" s="29">
        <f>INDEX(Input!$C$77:$AL$82,MATCH('Residential Bills_Yr 1_avg'!$A$42,Input!$A$77:$A$82,0),MATCH('Residential Bills_Yr 1_avg'!R13,Input!$C$76:$AL$76,0))</f>
        <v>0.05</v>
      </c>
      <c r="S42" s="30">
        <f>T22+T38+T41</f>
        <v>83.27000000000001</v>
      </c>
      <c r="T42" s="25">
        <f>ROUND(R42*S42,2)</f>
        <v>4.16</v>
      </c>
      <c r="V42" s="29">
        <f>INDEX(Input!$C$77:$AL$82,MATCH('Residential Bills_Yr 1_avg'!$A$42,Input!$A$77:$A$82,0),MATCH('Residential Bills_Yr 1_avg'!V13,Input!$C$76:$AL$76,0))</f>
        <v>0.05</v>
      </c>
      <c r="W42" s="30">
        <f>X22+X38+X41</f>
        <v>83.27000000000001</v>
      </c>
      <c r="X42" s="25">
        <f>ROUND(V42*W42,2)</f>
        <v>4.16</v>
      </c>
      <c r="Z42" s="29">
        <f>INDEX(Input!$C$77:$AL$82,MATCH('Residential Bills_Yr 1_avg'!$A$42,Input!$A$77:$A$82,0),MATCH('Residential Bills_Yr 1_avg'!Z13,Input!$C$76:$AL$76,0))</f>
        <v>0.05</v>
      </c>
      <c r="AA42" s="30">
        <f>AB22+AB38+AB41</f>
        <v>83.27000000000001</v>
      </c>
      <c r="AB42" s="25">
        <f>ROUND(Z42*AA42,2)</f>
        <v>4.16</v>
      </c>
      <c r="AD42" s="29">
        <f>INDEX(Input!$C$77:$AL$82,MATCH('Residential Bills_Yr 1_avg'!$A$42,Input!$A$77:$A$82,0),MATCH('Residential Bills_Yr 1_avg'!AD13,Input!$C$76:$AL$76,0))</f>
        <v>0.05</v>
      </c>
      <c r="AE42" s="30">
        <f>AF22+AF38+AF41</f>
        <v>83.27000000000001</v>
      </c>
      <c r="AF42" s="25">
        <f>ROUND(AD42*AE42,2)</f>
        <v>4.16</v>
      </c>
      <c r="AH42" s="29">
        <f>INDEX(Input!$C$77:$AL$82,MATCH('Residential Bills_Yr 1_avg'!$A$42,Input!$A$77:$A$82,0),MATCH('Residential Bills_Yr 1_avg'!AH13,Input!$C$76:$AL$76,0))</f>
        <v>0.05</v>
      </c>
      <c r="AI42" s="30">
        <f>AJ22+AJ38+AJ41</f>
        <v>83.220000000000013</v>
      </c>
      <c r="AJ42" s="25">
        <f>ROUND(AH42*AI42,2)</f>
        <v>4.16</v>
      </c>
      <c r="AL42" s="29">
        <f>INDEX(Input!$C$77:$AL$82,MATCH('Residential Bills_Yr 1_avg'!$A$42,Input!$A$77:$A$82,0),MATCH('Residential Bills_Yr 1_avg'!AL13,Input!$C$76:$AL$76,0))</f>
        <v>0.05</v>
      </c>
      <c r="AM42" s="30">
        <f>AN22+AN38+AN41</f>
        <v>83.220000000000013</v>
      </c>
      <c r="AN42" s="25">
        <f>ROUND(AL42*AM42,2)</f>
        <v>4.16</v>
      </c>
      <c r="AP42" s="29">
        <f>INDEX(Input!$C$77:$AL$82,MATCH('Residential Bills_Yr 1_avg'!$A$42,Input!$A$77:$A$82,0),MATCH('Residential Bills_Yr 1_avg'!AP13,Input!$C$76:$AL$76,0))</f>
        <v>0.05</v>
      </c>
      <c r="AQ42" s="30">
        <f>AR22+AR38+AR41</f>
        <v>83.220000000000013</v>
      </c>
      <c r="AR42" s="25">
        <f>ROUND(AP42*AQ42,2)</f>
        <v>4.16</v>
      </c>
      <c r="AS42" s="17"/>
      <c r="AT42" s="29">
        <f>INDEX(Input!$C$77:$AL$82,MATCH('Residential Bills_Yr 1_avg'!$A$42,Input!$A$77:$A$82,0),MATCH('Residential Bills_Yr 1_avg'!AT13,Input!$C$76:$AL$76,0))</f>
        <v>0.05</v>
      </c>
      <c r="AU42" s="30">
        <f>AV22+AV38+AV41</f>
        <v>83.220000000000013</v>
      </c>
      <c r="AV42" s="25">
        <f>ROUND(AT42*AU42,2)</f>
        <v>4.16</v>
      </c>
    </row>
    <row r="43" spans="1:48" ht="14.5" customHeight="1" x14ac:dyDescent="0.55000000000000004">
      <c r="A43" t="str">
        <f>+Input!A79</f>
        <v>Reserved</v>
      </c>
      <c r="B43" s="16"/>
      <c r="C43" s="17"/>
      <c r="D43" s="19"/>
      <c r="F43" s="16"/>
      <c r="G43" s="17"/>
      <c r="H43" s="19"/>
      <c r="J43" s="16"/>
      <c r="K43" s="17"/>
      <c r="L43" s="19"/>
      <c r="N43" s="16"/>
      <c r="O43" s="17"/>
      <c r="P43" s="19"/>
      <c r="R43" s="16"/>
      <c r="S43" s="17"/>
      <c r="T43" s="19"/>
      <c r="V43" s="16"/>
      <c r="W43" s="17"/>
      <c r="X43" s="19"/>
      <c r="Z43" s="16"/>
      <c r="AA43" s="17"/>
      <c r="AB43" s="19"/>
      <c r="AD43" s="16"/>
      <c r="AE43" s="17"/>
      <c r="AF43" s="19"/>
      <c r="AH43" s="16"/>
      <c r="AI43" s="17"/>
      <c r="AJ43" s="19"/>
      <c r="AL43" s="16"/>
      <c r="AM43" s="17"/>
      <c r="AN43" s="19"/>
      <c r="AP43" s="16"/>
      <c r="AQ43" s="17"/>
      <c r="AR43" s="19"/>
      <c r="AS43" s="17"/>
      <c r="AT43" s="16"/>
      <c r="AU43" s="17"/>
      <c r="AV43" s="19"/>
    </row>
    <row r="44" spans="1:48" ht="14.5" customHeight="1" x14ac:dyDescent="0.55000000000000004">
      <c r="A44" t="str">
        <f>+Input!A80</f>
        <v>Reserved</v>
      </c>
      <c r="B44" s="16"/>
      <c r="C44" s="17"/>
      <c r="D44" s="19"/>
      <c r="F44" s="16"/>
      <c r="G44" s="17"/>
      <c r="H44" s="19"/>
      <c r="J44" s="16"/>
      <c r="K44" s="17"/>
      <c r="L44" s="19"/>
      <c r="N44" s="16"/>
      <c r="O44" s="17"/>
      <c r="P44" s="19"/>
      <c r="R44" s="16"/>
      <c r="S44" s="17"/>
      <c r="T44" s="19"/>
      <c r="V44" s="16"/>
      <c r="W44" s="17"/>
      <c r="X44" s="19"/>
      <c r="Z44" s="16"/>
      <c r="AA44" s="17"/>
      <c r="AB44" s="19"/>
      <c r="AD44" s="16"/>
      <c r="AE44" s="17"/>
      <c r="AF44" s="19"/>
      <c r="AH44" s="16"/>
      <c r="AI44" s="17"/>
      <c r="AJ44" s="19"/>
      <c r="AL44" s="16"/>
      <c r="AM44" s="17"/>
      <c r="AN44" s="19"/>
      <c r="AP44" s="16"/>
      <c r="AQ44" s="17"/>
      <c r="AR44" s="19"/>
      <c r="AS44" s="17"/>
      <c r="AT44" s="16"/>
      <c r="AU44" s="17"/>
      <c r="AV44" s="19"/>
    </row>
    <row r="45" spans="1:48" ht="14.5" customHeight="1" x14ac:dyDescent="0.55000000000000004">
      <c r="A45" t="str">
        <f>+Input!A81</f>
        <v>Reserved</v>
      </c>
      <c r="B45" s="16"/>
      <c r="C45" s="17"/>
      <c r="D45" s="19"/>
      <c r="F45" s="16"/>
      <c r="G45" s="17"/>
      <c r="H45" s="19"/>
      <c r="J45" s="16"/>
      <c r="K45" s="17"/>
      <c r="L45" s="19"/>
      <c r="N45" s="16"/>
      <c r="O45" s="17"/>
      <c r="P45" s="19"/>
      <c r="R45" s="16"/>
      <c r="S45" s="17"/>
      <c r="T45" s="19"/>
      <c r="V45" s="16"/>
      <c r="W45" s="17"/>
      <c r="X45" s="19"/>
      <c r="Z45" s="16"/>
      <c r="AA45" s="17"/>
      <c r="AB45" s="19"/>
      <c r="AD45" s="16"/>
      <c r="AE45" s="17"/>
      <c r="AF45" s="19"/>
      <c r="AH45" s="16"/>
      <c r="AI45" s="17"/>
      <c r="AJ45" s="19"/>
      <c r="AL45" s="16"/>
      <c r="AM45" s="17"/>
      <c r="AN45" s="19"/>
      <c r="AP45" s="16"/>
      <c r="AQ45" s="17"/>
      <c r="AR45" s="19"/>
      <c r="AS45" s="17"/>
      <c r="AT45" s="16"/>
      <c r="AU45" s="17"/>
      <c r="AV45" s="19"/>
    </row>
    <row r="46" spans="1:48" ht="14.5" customHeight="1" x14ac:dyDescent="0.55000000000000004">
      <c r="A46" t="str">
        <f>+Input!A82</f>
        <v>Reserved</v>
      </c>
      <c r="B46" s="16"/>
      <c r="C46" s="17"/>
      <c r="D46" s="19"/>
      <c r="F46" s="16"/>
      <c r="G46" s="17"/>
      <c r="H46" s="19"/>
      <c r="J46" s="16"/>
      <c r="K46" s="17"/>
      <c r="L46" s="19"/>
      <c r="N46" s="16"/>
      <c r="O46" s="17"/>
      <c r="P46" s="19"/>
      <c r="R46" s="16"/>
      <c r="S46" s="17"/>
      <c r="T46" s="19"/>
      <c r="V46" s="16"/>
      <c r="W46" s="17"/>
      <c r="X46" s="19"/>
      <c r="Z46" s="16"/>
      <c r="AA46" s="17"/>
      <c r="AB46" s="19"/>
      <c r="AD46" s="16"/>
      <c r="AE46" s="17"/>
      <c r="AF46" s="19"/>
      <c r="AH46" s="16"/>
      <c r="AI46" s="17"/>
      <c r="AJ46" s="19"/>
      <c r="AL46" s="16"/>
      <c r="AM46" s="17"/>
      <c r="AN46" s="19"/>
      <c r="AP46" s="16"/>
      <c r="AQ46" s="17"/>
      <c r="AR46" s="19"/>
      <c r="AS46" s="17"/>
      <c r="AT46" s="16"/>
      <c r="AU46" s="17"/>
      <c r="AV46" s="19"/>
    </row>
    <row r="47" spans="1:48" x14ac:dyDescent="0.55000000000000004">
      <c r="A47" t="s">
        <v>39</v>
      </c>
      <c r="B47" s="16"/>
      <c r="C47" s="17"/>
      <c r="D47" s="19"/>
      <c r="F47" s="16"/>
      <c r="G47" s="17"/>
      <c r="H47" s="19"/>
      <c r="J47" s="16"/>
      <c r="K47" s="17"/>
      <c r="L47" s="19"/>
      <c r="N47" s="16"/>
      <c r="O47" s="17"/>
      <c r="P47" s="19"/>
      <c r="R47" s="16"/>
      <c r="S47" s="17"/>
      <c r="T47" s="19"/>
      <c r="V47" s="16"/>
      <c r="W47" s="17"/>
      <c r="X47" s="19"/>
      <c r="Z47" s="16"/>
      <c r="AA47" s="17"/>
      <c r="AB47" s="19"/>
      <c r="AD47" s="16"/>
      <c r="AE47" s="17"/>
      <c r="AF47" s="19"/>
      <c r="AH47" s="16"/>
      <c r="AI47" s="17"/>
      <c r="AJ47" s="19"/>
      <c r="AL47" s="16"/>
      <c r="AM47" s="17"/>
      <c r="AN47" s="19"/>
      <c r="AP47" s="16"/>
      <c r="AQ47" s="17"/>
      <c r="AR47" s="19"/>
      <c r="AS47" s="17"/>
      <c r="AT47" s="16"/>
      <c r="AU47" s="17"/>
      <c r="AV47" s="19"/>
    </row>
    <row r="48" spans="1:48" x14ac:dyDescent="0.55000000000000004">
      <c r="B48" s="16"/>
      <c r="C48" s="17"/>
      <c r="D48" s="19"/>
      <c r="F48" s="16"/>
      <c r="G48" s="17"/>
      <c r="H48" s="19"/>
      <c r="J48" s="16"/>
      <c r="K48" s="17"/>
      <c r="L48" s="19"/>
      <c r="N48" s="16"/>
      <c r="O48" s="17"/>
      <c r="P48" s="19"/>
      <c r="R48" s="16"/>
      <c r="S48" s="17"/>
      <c r="T48" s="19"/>
      <c r="V48" s="16"/>
      <c r="W48" s="17"/>
      <c r="X48" s="19"/>
      <c r="Z48" s="16"/>
      <c r="AA48" s="17"/>
      <c r="AB48" s="19"/>
      <c r="AD48" s="16"/>
      <c r="AE48" s="17"/>
      <c r="AF48" s="19"/>
      <c r="AH48" s="16"/>
      <c r="AI48" s="17"/>
      <c r="AJ48" s="19"/>
      <c r="AL48" s="16"/>
      <c r="AM48" s="17"/>
      <c r="AN48" s="19"/>
      <c r="AP48" s="16"/>
      <c r="AQ48" s="17"/>
      <c r="AR48" s="19"/>
      <c r="AS48" s="17"/>
      <c r="AT48" s="16"/>
      <c r="AU48" s="17"/>
      <c r="AV48" s="19"/>
    </row>
    <row r="49" spans="1:48" ht="14.7" thickBot="1" x14ac:dyDescent="0.6">
      <c r="A49" t="s">
        <v>40</v>
      </c>
      <c r="B49" s="27"/>
      <c r="C49" s="28"/>
      <c r="D49" s="32">
        <f>D22+D38+D41+D42</f>
        <v>87.43</v>
      </c>
      <c r="F49" s="27"/>
      <c r="G49" s="28"/>
      <c r="H49" s="32">
        <f>H22+H38+H41+H42</f>
        <v>87.43</v>
      </c>
      <c r="J49" s="27"/>
      <c r="K49" s="28"/>
      <c r="L49" s="32">
        <f>L22+L38+L41+L42</f>
        <v>87.43</v>
      </c>
      <c r="N49" s="27"/>
      <c r="O49" s="28"/>
      <c r="P49" s="32">
        <f>P22+P38+P41+P42</f>
        <v>87.43</v>
      </c>
      <c r="R49" s="27"/>
      <c r="S49" s="28"/>
      <c r="T49" s="32">
        <f>T22+T38+T41+T42</f>
        <v>87.43</v>
      </c>
      <c r="V49" s="27"/>
      <c r="W49" s="28"/>
      <c r="X49" s="32">
        <f>X22+X38+X41+X42</f>
        <v>87.43</v>
      </c>
      <c r="Z49" s="27"/>
      <c r="AA49" s="28"/>
      <c r="AB49" s="32">
        <f>AB22+AB38+AB41+AB42</f>
        <v>87.43</v>
      </c>
      <c r="AD49" s="27"/>
      <c r="AE49" s="28"/>
      <c r="AF49" s="32">
        <f>AF22+AF38+AF41+AF42</f>
        <v>87.43</v>
      </c>
      <c r="AH49" s="27"/>
      <c r="AI49" s="28"/>
      <c r="AJ49" s="32">
        <f>AJ22+AJ38+AJ41+AJ42</f>
        <v>87.38000000000001</v>
      </c>
      <c r="AL49" s="27"/>
      <c r="AM49" s="28"/>
      <c r="AN49" s="32">
        <f>AN22+AN38+AN41+AN42</f>
        <v>87.38000000000001</v>
      </c>
      <c r="AP49" s="27"/>
      <c r="AQ49" s="28"/>
      <c r="AR49" s="32">
        <f>AR22+AR38+AR41+AR42</f>
        <v>87.38000000000001</v>
      </c>
      <c r="AS49" s="176"/>
      <c r="AT49" s="27"/>
      <c r="AU49" s="28"/>
      <c r="AV49" s="32">
        <f>AV22+AV38+AV41+AV42</f>
        <v>87.38000000000001</v>
      </c>
    </row>
    <row r="51" spans="1:48" x14ac:dyDescent="0.55000000000000004">
      <c r="A51" t="s">
        <v>81</v>
      </c>
    </row>
    <row r="52" spans="1:48" ht="14.7" thickBot="1" x14ac:dyDescent="0.6"/>
    <row r="53" spans="1:48" x14ac:dyDescent="0.55000000000000004">
      <c r="A53" s="11" t="s">
        <v>83</v>
      </c>
      <c r="B53" s="12">
        <f>B5</f>
        <v>2023</v>
      </c>
    </row>
    <row r="54" spans="1:48" x14ac:dyDescent="0.55000000000000004">
      <c r="A54" s="13" t="s">
        <v>6</v>
      </c>
      <c r="B54" s="57" t="str">
        <f>B6</f>
        <v>3/4"</v>
      </c>
    </row>
    <row r="55" spans="1:48" x14ac:dyDescent="0.55000000000000004">
      <c r="A55" s="13" t="s">
        <v>41</v>
      </c>
      <c r="B55" s="14">
        <f>B7</f>
        <v>6</v>
      </c>
    </row>
    <row r="56" spans="1:48" x14ac:dyDescent="0.55000000000000004">
      <c r="A56" s="13" t="s">
        <v>8</v>
      </c>
      <c r="B56" s="14" t="str">
        <f>B8</f>
        <v>Residential</v>
      </c>
    </row>
    <row r="57" spans="1:48" x14ac:dyDescent="0.55000000000000004">
      <c r="A57" s="13" t="s">
        <v>89</v>
      </c>
      <c r="B57" s="14" t="s">
        <v>26</v>
      </c>
    </row>
    <row r="58" spans="1:48" x14ac:dyDescent="0.55000000000000004">
      <c r="A58" s="13" t="s">
        <v>51</v>
      </c>
      <c r="B58" s="14" t="str">
        <f>B10</f>
        <v>San Jose Water Company</v>
      </c>
    </row>
    <row r="59" spans="1:48" ht="14.7" thickBot="1" x14ac:dyDescent="0.6">
      <c r="A59" s="15" t="s">
        <v>28</v>
      </c>
      <c r="B59" s="35" t="str">
        <f>B11</f>
        <v>San Jose Water Company</v>
      </c>
    </row>
    <row r="60" spans="1:48" ht="14.7" thickBot="1" x14ac:dyDescent="0.6">
      <c r="A60" s="34"/>
      <c r="B60" s="24"/>
    </row>
    <row r="61" spans="1:48" ht="14.7" thickBot="1" x14ac:dyDescent="0.6">
      <c r="A61" s="1"/>
      <c r="B61" s="209" t="str">
        <f>CONCATENATE("January"," ",$B$5)</f>
        <v>January 2023</v>
      </c>
      <c r="C61" s="210"/>
      <c r="D61" s="211"/>
      <c r="F61" s="209" t="str">
        <f>CONCATENATE("February"," ",$B$5)</f>
        <v>February 2023</v>
      </c>
      <c r="G61" s="210"/>
      <c r="H61" s="211"/>
      <c r="J61" s="209" t="str">
        <f>CONCATENATE("March"," ",$B$5)</f>
        <v>March 2023</v>
      </c>
      <c r="K61" s="210"/>
      <c r="L61" s="211"/>
      <c r="N61" s="209" t="str">
        <f>CONCATENATE("April"," ",$B$5)</f>
        <v>April 2023</v>
      </c>
      <c r="O61" s="210"/>
      <c r="P61" s="211"/>
      <c r="R61" s="209" t="str">
        <f>CONCATENATE("May"," ",$B$5)</f>
        <v>May 2023</v>
      </c>
      <c r="S61" s="210"/>
      <c r="T61" s="211"/>
      <c r="V61" s="209" t="str">
        <f>CONCATENATE("June"," ",$B$5)</f>
        <v>June 2023</v>
      </c>
      <c r="W61" s="210"/>
      <c r="X61" s="211"/>
      <c r="Z61" s="209" t="str">
        <f>CONCATENATE("July"," ",$B$5)</f>
        <v>July 2023</v>
      </c>
      <c r="AA61" s="210"/>
      <c r="AB61" s="211"/>
      <c r="AD61" s="209" t="str">
        <f>CONCATENATE("August"," ",$B$5)</f>
        <v>August 2023</v>
      </c>
      <c r="AE61" s="210"/>
      <c r="AF61" s="211"/>
      <c r="AH61" s="209" t="str">
        <f>CONCATENATE("September"," ",$B$5)</f>
        <v>September 2023</v>
      </c>
      <c r="AI61" s="210"/>
      <c r="AJ61" s="211"/>
      <c r="AL61" s="209" t="str">
        <f>CONCATENATE("October"," ",$B$5)</f>
        <v>October 2023</v>
      </c>
      <c r="AM61" s="210"/>
      <c r="AN61" s="211"/>
      <c r="AP61" s="209" t="str">
        <f>CONCATENATE("November"," ",$B$5)</f>
        <v>November 2023</v>
      </c>
      <c r="AQ61" s="210"/>
      <c r="AR61" s="211"/>
      <c r="AS61" s="171"/>
      <c r="AT61" s="209" t="str">
        <f>CONCATENATE("December"," ",$B$5)</f>
        <v>December 2023</v>
      </c>
      <c r="AU61" s="210"/>
      <c r="AV61" s="211"/>
    </row>
    <row r="62" spans="1:48" x14ac:dyDescent="0.55000000000000004">
      <c r="A62" s="1" t="s">
        <v>5</v>
      </c>
      <c r="B62" s="16"/>
      <c r="C62" s="17"/>
      <c r="D62" s="18">
        <f>INDEX(Input!$C$28:$AL$42,MATCH('Residential Bills_Yr 2_6 Units'!$B$54,Input!$A$28:$A$42,0),MATCH('Residential Bills_Yr 2_6 Units'!B$61,Input!$C$27:$AL$27,0))</f>
        <v>53.02</v>
      </c>
      <c r="F62" s="16"/>
      <c r="G62" s="17"/>
      <c r="H62" s="18">
        <f>INDEX(Input!$C$28:$AL$42,MATCH('Residential Bills_Yr 2_6 Units'!$B$54,Input!$A$28:$A$42,0),MATCH('Residential Bills_Yr 2_6 Units'!F$61,Input!$C$27:$AL$27,0))</f>
        <v>53.02</v>
      </c>
      <c r="J62" s="16"/>
      <c r="K62" s="17"/>
      <c r="L62" s="18">
        <f>INDEX(Input!$C$28:$AL$42,MATCH('Residential Bills_Yr 2_6 Units'!$B$54,Input!$A$28:$A$42,0),MATCH('Residential Bills_Yr 2_6 Units'!J$61,Input!$C$27:$AL$27,0))</f>
        <v>53.02</v>
      </c>
      <c r="N62" s="16"/>
      <c r="O62" s="17"/>
      <c r="P62" s="18">
        <f>INDEX(Input!$C$28:$AL$42,MATCH('Residential Bills_Yr 2_6 Units'!$B$54,Input!$A$28:$A$42,0),MATCH('Residential Bills_Yr 2_6 Units'!N$61,Input!$C$27:$AL$27,0))</f>
        <v>53.02</v>
      </c>
      <c r="R62" s="16"/>
      <c r="S62" s="17"/>
      <c r="T62" s="18">
        <f>INDEX(Input!$C$28:$AL$42,MATCH('Residential Bills_Yr 2_6 Units'!$B$54,Input!$A$28:$A$42,0),MATCH('Residential Bills_Yr 2_6 Units'!R$61,Input!$C$27:$AL$27,0))</f>
        <v>53.02</v>
      </c>
      <c r="V62" s="16"/>
      <c r="W62" s="17"/>
      <c r="X62" s="18">
        <f>INDEX(Input!$C$28:$AL$42,MATCH('Residential Bills_Yr 2_6 Units'!$B$54,Input!$A$28:$A$42,0),MATCH('Residential Bills_Yr 2_6 Units'!V$61,Input!$C$27:$AL$27,0))</f>
        <v>53.02</v>
      </c>
      <c r="Z62" s="16"/>
      <c r="AA62" s="17"/>
      <c r="AB62" s="18">
        <f>INDEX(Input!$C$28:$AL$42,MATCH('Residential Bills_Yr 2_6 Units'!$B$54,Input!$A$28:$A$42,0),MATCH('Residential Bills_Yr 2_6 Units'!Z$61,Input!$C$27:$AL$27,0))</f>
        <v>53.02</v>
      </c>
      <c r="AD62" s="16"/>
      <c r="AE62" s="17"/>
      <c r="AF62" s="18">
        <f>INDEX(Input!$C$28:$AL$42,MATCH('Residential Bills_Yr 2_6 Units'!$B$54,Input!$A$28:$A$42,0),MATCH('Residential Bills_Yr 2_6 Units'!AD$61,Input!$C$27:$AL$27,0))</f>
        <v>53.02</v>
      </c>
      <c r="AH62" s="16"/>
      <c r="AI62" s="17"/>
      <c r="AJ62" s="18">
        <f>INDEX(Input!$C$28:$AL$42,MATCH('Residential Bills_Yr 2_6 Units'!$B$54,Input!$A$28:$A$42,0),MATCH('Residential Bills_Yr 2_6 Units'!AH$61,Input!$C$27:$AL$27,0))</f>
        <v>53.02</v>
      </c>
      <c r="AL62" s="16"/>
      <c r="AM62" s="17"/>
      <c r="AN62" s="18">
        <f>INDEX(Input!$C$28:$AL$42,MATCH('Residential Bills_Yr 2_6 Units'!$B$54,Input!$A$28:$A$42,0),MATCH('Residential Bills_Yr 2_6 Units'!AL$61,Input!$C$27:$AL$27,0))</f>
        <v>53.02</v>
      </c>
      <c r="AP62" s="16"/>
      <c r="AQ62" s="17"/>
      <c r="AR62" s="18">
        <f>INDEX(Input!$C$28:$AL$42,MATCH('Residential Bills_Yr 2_6 Units'!$B$54,Input!$A$28:$A$42,0),MATCH('Residential Bills_Yr 2_6 Units'!AP$61,Input!$C$27:$AL$27,0))</f>
        <v>53.02</v>
      </c>
      <c r="AS62" s="175"/>
      <c r="AT62" s="16"/>
      <c r="AU62" s="17"/>
      <c r="AV62" s="18">
        <f>INDEX(Input!$C$28:$AL$42,MATCH('Residential Bills_Yr 2_6 Units'!$B$54,Input!$A$28:$A$42,0),MATCH('Residential Bills_Yr 2_6 Units'!AT$61,Input!$C$27:$AL$27,0))</f>
        <v>53.02</v>
      </c>
    </row>
    <row r="63" spans="1:48" x14ac:dyDescent="0.55000000000000004">
      <c r="B63" s="16"/>
      <c r="C63" s="17"/>
      <c r="D63" s="19"/>
      <c r="F63" s="16"/>
      <c r="G63" s="17"/>
      <c r="H63" s="19"/>
      <c r="J63" s="16"/>
      <c r="K63" s="17"/>
      <c r="L63" s="19"/>
      <c r="N63" s="16"/>
      <c r="O63" s="17"/>
      <c r="P63" s="19"/>
      <c r="R63" s="16"/>
      <c r="S63" s="17"/>
      <c r="T63" s="19"/>
      <c r="V63" s="16"/>
      <c r="W63" s="17"/>
      <c r="X63" s="19"/>
      <c r="Z63" s="16"/>
      <c r="AA63" s="17"/>
      <c r="AB63" s="19"/>
      <c r="AD63" s="16"/>
      <c r="AE63" s="17"/>
      <c r="AF63" s="19"/>
      <c r="AH63" s="16"/>
      <c r="AI63" s="17"/>
      <c r="AJ63" s="19"/>
      <c r="AL63" s="16"/>
      <c r="AM63" s="17"/>
      <c r="AN63" s="19"/>
      <c r="AP63" s="16"/>
      <c r="AQ63" s="17"/>
      <c r="AR63" s="19"/>
      <c r="AS63" s="17"/>
      <c r="AT63" s="16"/>
      <c r="AU63" s="17"/>
      <c r="AV63" s="19"/>
    </row>
    <row r="64" spans="1:48" ht="16.5" customHeight="1" x14ac:dyDescent="0.55000000000000004">
      <c r="A64" s="1" t="s">
        <v>33</v>
      </c>
      <c r="B64" s="20" t="s">
        <v>29</v>
      </c>
      <c r="C64" s="21" t="s">
        <v>7</v>
      </c>
      <c r="D64" s="22" t="s">
        <v>30</v>
      </c>
      <c r="F64" s="20" t="s">
        <v>29</v>
      </c>
      <c r="G64" s="21" t="s">
        <v>7</v>
      </c>
      <c r="H64" s="111" t="s">
        <v>30</v>
      </c>
      <c r="J64" s="20" t="s">
        <v>29</v>
      </c>
      <c r="K64" s="21" t="s">
        <v>7</v>
      </c>
      <c r="L64" s="111" t="s">
        <v>30</v>
      </c>
      <c r="N64" s="20" t="s">
        <v>29</v>
      </c>
      <c r="O64" s="21" t="s">
        <v>7</v>
      </c>
      <c r="P64" s="111" t="s">
        <v>30</v>
      </c>
      <c r="R64" s="20" t="s">
        <v>29</v>
      </c>
      <c r="S64" s="21" t="s">
        <v>7</v>
      </c>
      <c r="T64" s="111" t="s">
        <v>30</v>
      </c>
      <c r="V64" s="20" t="s">
        <v>29</v>
      </c>
      <c r="W64" s="21" t="s">
        <v>7</v>
      </c>
      <c r="X64" s="111" t="s">
        <v>30</v>
      </c>
      <c r="Z64" s="20" t="s">
        <v>29</v>
      </c>
      <c r="AA64" s="21" t="s">
        <v>7</v>
      </c>
      <c r="AB64" s="111" t="s">
        <v>30</v>
      </c>
      <c r="AD64" s="20" t="s">
        <v>29</v>
      </c>
      <c r="AE64" s="21" t="s">
        <v>7</v>
      </c>
      <c r="AF64" s="111" t="s">
        <v>30</v>
      </c>
      <c r="AH64" s="20" t="s">
        <v>29</v>
      </c>
      <c r="AI64" s="21" t="s">
        <v>7</v>
      </c>
      <c r="AJ64" s="111" t="s">
        <v>30</v>
      </c>
      <c r="AL64" s="20" t="s">
        <v>29</v>
      </c>
      <c r="AM64" s="21" t="s">
        <v>7</v>
      </c>
      <c r="AN64" s="111" t="s">
        <v>30</v>
      </c>
      <c r="AP64" s="20" t="s">
        <v>29</v>
      </c>
      <c r="AQ64" s="21" t="s">
        <v>7</v>
      </c>
      <c r="AR64" s="111" t="s">
        <v>30</v>
      </c>
      <c r="AS64" s="170"/>
      <c r="AT64" s="20" t="s">
        <v>29</v>
      </c>
      <c r="AU64" s="21" t="s">
        <v>7</v>
      </c>
      <c r="AV64" s="111" t="s">
        <v>30</v>
      </c>
    </row>
    <row r="65" spans="1:48" x14ac:dyDescent="0.55000000000000004">
      <c r="A65" t="str">
        <f>A17</f>
        <v>Tier 1</v>
      </c>
      <c r="B65" s="23">
        <f>INDEX(Input!$C$21:$AL$25,MATCH('Residential Bills_Yr 2_6 Units'!$A65,Input!$A$21:$A$25,0),MATCH('Residential Bills_Yr 2_6 Units'!B$61,Input!$C$20:$AL$20,0))</f>
        <v>4.1460999999999997</v>
      </c>
      <c r="C65" s="24">
        <f>IF($B$55&gt;Input!F94,Input!F94,'Residential Bills_Yr 2_6 Units'!$B$55)</f>
        <v>6</v>
      </c>
      <c r="D65" s="25">
        <f>ROUND(IFERROR(B65*C65," "),2)</f>
        <v>24.88</v>
      </c>
      <c r="F65" s="23">
        <f>INDEX(Input!$C$21:$AL$25,MATCH('Residential Bills_Yr 2_6 Units'!$A65,Input!$A$21:$A$25,0),MATCH('Residential Bills_Yr 2_6 Units'!F$61,Input!$C$20:$AL$20,0))</f>
        <v>4.1460999999999997</v>
      </c>
      <c r="G65" s="24">
        <f>IF($B$55&gt;Input!G94,Input!G94,'Residential Bills_Yr 2_6 Units'!$B$55)</f>
        <v>6</v>
      </c>
      <c r="H65" s="25">
        <f>ROUND(IFERROR(F65*G65," "),2)</f>
        <v>24.88</v>
      </c>
      <c r="J65" s="23">
        <f>INDEX(Input!$C$21:$AL$25,MATCH('Residential Bills_Yr 2_6 Units'!$A65,Input!$A$21:$A$25,0),MATCH('Residential Bills_Yr 2_6 Units'!J$61,Input!$C$20:$AL$20,0))</f>
        <v>4.1460999999999997</v>
      </c>
      <c r="K65" s="24">
        <f>IF($B$55&gt;Input!H94,Input!H94,'Residential Bills_Yr 2_6 Units'!$B$55)</f>
        <v>6</v>
      </c>
      <c r="L65" s="25">
        <f>ROUND(IFERROR(J65*K65," "),2)</f>
        <v>24.88</v>
      </c>
      <c r="N65" s="23">
        <f>INDEX(Input!$C$21:$AL$25,MATCH('Residential Bills_Yr 2_6 Units'!$A65,Input!$A$21:$A$25,0),MATCH('Residential Bills_Yr 2_6 Units'!N$61,Input!$C$20:$AL$20,0))</f>
        <v>4.1460999999999997</v>
      </c>
      <c r="O65" s="24">
        <f>IF($B$55&gt;Input!I94,Input!I94,'Residential Bills_Yr 2_6 Units'!$B$55)</f>
        <v>6</v>
      </c>
      <c r="P65" s="25">
        <f>ROUND(IFERROR(N65*O65," "),2)</f>
        <v>24.88</v>
      </c>
      <c r="R65" s="23">
        <f>INDEX(Input!$C$21:$AL$25,MATCH('Residential Bills_Yr 2_6 Units'!$A65,Input!$A$21:$A$25,0),MATCH('Residential Bills_Yr 2_6 Units'!R$61,Input!$C$20:$AL$20,0))</f>
        <v>4.1460999999999997</v>
      </c>
      <c r="S65" s="24">
        <f>IF($B$55&gt;Input!J94,Input!J94,'Residential Bills_Yr 2_6 Units'!$B$55)</f>
        <v>6</v>
      </c>
      <c r="T65" s="25">
        <f>ROUND(IFERROR(R65*S65," "),2)</f>
        <v>24.88</v>
      </c>
      <c r="V65" s="23">
        <f>INDEX(Input!$C$21:$AL$25,MATCH('Residential Bills_Yr 2_6 Units'!$A65,Input!$A$21:$A$25,0),MATCH('Residential Bills_Yr 2_6 Units'!V$61,Input!$C$20:$AL$20,0))</f>
        <v>4.1460999999999997</v>
      </c>
      <c r="W65" s="24">
        <f>IF($B$55&gt;Input!K94,Input!K94,'Residential Bills_Yr 2_6 Units'!$B$55)</f>
        <v>6</v>
      </c>
      <c r="X65" s="25">
        <f>ROUND(IFERROR(V65*W65," "),2)</f>
        <v>24.88</v>
      </c>
      <c r="Z65" s="23">
        <f>INDEX(Input!$C$21:$AL$25,MATCH('Residential Bills_Yr 2_6 Units'!$A65,Input!$A$21:$A$25,0),MATCH('Residential Bills_Yr 2_6 Units'!Z$61,Input!$C$20:$AL$20,0))</f>
        <v>4.1460999999999997</v>
      </c>
      <c r="AA65" s="24">
        <f>IF($B$55&gt;Input!L94,Input!L94,'Residential Bills_Yr 2_6 Units'!$B$55)</f>
        <v>6</v>
      </c>
      <c r="AB65" s="25">
        <f>ROUND(IFERROR(Z65*AA65," "),2)</f>
        <v>24.88</v>
      </c>
      <c r="AD65" s="23">
        <f>INDEX(Input!$C$21:$AL$25,MATCH('Residential Bills_Yr 2_6 Units'!$A65,Input!$A$21:$A$25,0),MATCH('Residential Bills_Yr 2_6 Units'!AD$61,Input!$C$20:$AL$20,0))</f>
        <v>4.1460999999999997</v>
      </c>
      <c r="AE65" s="24">
        <f>IF($B$55&gt;Input!M94,Input!M94,'Residential Bills_Yr 2_6 Units'!$B$55)</f>
        <v>6</v>
      </c>
      <c r="AF65" s="25">
        <f>ROUND(IFERROR(AD65*AE65," "),2)</f>
        <v>24.88</v>
      </c>
      <c r="AH65" s="23">
        <f>INDEX(Input!$C$21:$AL$25,MATCH('Residential Bills_Yr 2_6 Units'!$A65,Input!$A$21:$A$25,0),MATCH('Residential Bills_Yr 2_6 Units'!AH$61,Input!$C$20:$AL$20,0))</f>
        <v>4.1460999999999997</v>
      </c>
      <c r="AI65" s="24">
        <f>IF($B$55&gt;Input!N94,Input!N94,'Residential Bills_Yr 2_6 Units'!$B$55)</f>
        <v>6</v>
      </c>
      <c r="AJ65" s="25">
        <f>ROUND(IFERROR(AH65*AI65," "),2)</f>
        <v>24.88</v>
      </c>
      <c r="AL65" s="23">
        <f>INDEX(Input!$C$21:$AL$25,MATCH('Residential Bills_Yr 2_6 Units'!$A65,Input!$A$21:$A$25,0),MATCH('Residential Bills_Yr 2_6 Units'!AL$61,Input!$C$20:$AL$20,0))</f>
        <v>4.1460999999999997</v>
      </c>
      <c r="AM65" s="24">
        <f>IF($B$55&gt;Input!O94,Input!O94,'Residential Bills_Yr 2_6 Units'!$B$55)</f>
        <v>6</v>
      </c>
      <c r="AN65" s="25">
        <f>ROUND(IFERROR(AL65*AM65," "),2)</f>
        <v>24.88</v>
      </c>
      <c r="AP65" s="23">
        <f>INDEX(Input!$C$21:$AL$25,MATCH('Residential Bills_Yr 2_6 Units'!$A65,Input!$A$21:$A$25,0),MATCH('Residential Bills_Yr 2_6 Units'!AP$61,Input!$C$20:$AL$20,0))</f>
        <v>4.1460999999999997</v>
      </c>
      <c r="AQ65" s="24">
        <f>IF($B$55&gt;Input!P94,Input!P94,'Residential Bills_Yr 2_6 Units'!$B$55)</f>
        <v>6</v>
      </c>
      <c r="AR65" s="25">
        <f>ROUND(IFERROR(AP65*AQ65," "),2)</f>
        <v>24.88</v>
      </c>
      <c r="AS65" s="30"/>
      <c r="AT65" s="23">
        <f>INDEX(Input!$C$21:$AL$25,MATCH('Residential Bills_Yr 2_6 Units'!$A65,Input!$A$21:$A$25,0),MATCH('Residential Bills_Yr 2_6 Units'!AT$61,Input!$C$20:$AL$20,0))</f>
        <v>4.1460999999999997</v>
      </c>
      <c r="AU65" s="24">
        <f>IF($B$55&gt;Input!Q94,Input!Q94,'Residential Bills_Yr 2_6 Units'!$B$55)</f>
        <v>6</v>
      </c>
      <c r="AV65" s="25">
        <f>ROUND(IFERROR(AT65*AU65," "),2)</f>
        <v>24.88</v>
      </c>
    </row>
    <row r="66" spans="1:48" x14ac:dyDescent="0.55000000000000004">
      <c r="A66" t="str">
        <f>A18</f>
        <v>Tier 2</v>
      </c>
      <c r="B66" s="23">
        <f>INDEX(Input!$C$21:$AL$25,MATCH('Residential Bills_Yr 2_6 Units'!$A66,Input!$A$21:$A$25,0),MATCH('Residential Bills_Yr 2_6 Units'!B$61,Input!$C$20:$AL$20,0))</f>
        <v>5.9352</v>
      </c>
      <c r="C66" s="24">
        <f>IF(($B$55-C65)&gt;Input!F95,Input!F95,($B$55-C65))</f>
        <v>0</v>
      </c>
      <c r="D66" s="25">
        <f>ROUND(IFERROR(B66*C66," "),2)</f>
        <v>0</v>
      </c>
      <c r="F66" s="23">
        <f>INDEX(Input!$C$21:$AL$25,MATCH('Residential Bills_Yr 2_6 Units'!$A66,Input!$A$21:$A$25,0),MATCH('Residential Bills_Yr 2_6 Units'!F$61,Input!$C$20:$AL$20,0))</f>
        <v>5.9352</v>
      </c>
      <c r="G66" s="24">
        <f>IF(($B$55-G65)&gt;Input!G95,Input!G95,($B$55-G65))</f>
        <v>0</v>
      </c>
      <c r="H66" s="25">
        <f>ROUND(IFERROR(F66*G66," "),2)</f>
        <v>0</v>
      </c>
      <c r="J66" s="23">
        <f>INDEX(Input!$C$21:$AL$25,MATCH('Residential Bills_Yr 2_6 Units'!$A66,Input!$A$21:$A$25,0),MATCH('Residential Bills_Yr 2_6 Units'!J$61,Input!$C$20:$AL$20,0))</f>
        <v>5.9352</v>
      </c>
      <c r="K66" s="24">
        <f>IF(($B$55-K65)&gt;Input!H95,Input!H95,($B$55-K65))</f>
        <v>0</v>
      </c>
      <c r="L66" s="25">
        <f>ROUND(IFERROR(J66*K66," "),2)</f>
        <v>0</v>
      </c>
      <c r="N66" s="23">
        <f>INDEX(Input!$C$21:$AL$25,MATCH('Residential Bills_Yr 2_6 Units'!$A66,Input!$A$21:$A$25,0),MATCH('Residential Bills_Yr 2_6 Units'!N$61,Input!$C$20:$AL$20,0))</f>
        <v>5.9352</v>
      </c>
      <c r="O66" s="24">
        <f>IF(($B$55-O65)&gt;Input!I95,Input!I95,($B$55-O65))</f>
        <v>0</v>
      </c>
      <c r="P66" s="25">
        <f>ROUND(IFERROR(N66*O66," "),2)</f>
        <v>0</v>
      </c>
      <c r="R66" s="23">
        <f>INDEX(Input!$C$21:$AL$25,MATCH('Residential Bills_Yr 2_6 Units'!$A66,Input!$A$21:$A$25,0),MATCH('Residential Bills_Yr 2_6 Units'!R$61,Input!$C$20:$AL$20,0))</f>
        <v>5.9352</v>
      </c>
      <c r="S66" s="24">
        <f>IF(($B$55-S65)&gt;Input!J95,Input!J95,($B$55-S65))</f>
        <v>0</v>
      </c>
      <c r="T66" s="25">
        <f>ROUND(IFERROR(R66*S66," "),2)</f>
        <v>0</v>
      </c>
      <c r="V66" s="23">
        <f>INDEX(Input!$C$21:$AL$25,MATCH('Residential Bills_Yr 2_6 Units'!$A66,Input!$A$21:$A$25,0),MATCH('Residential Bills_Yr 2_6 Units'!V$61,Input!$C$20:$AL$20,0))</f>
        <v>5.9352</v>
      </c>
      <c r="W66" s="24">
        <f>IF(($B$55-W65)&gt;Input!K95,Input!K95,($B$55-S65))</f>
        <v>0</v>
      </c>
      <c r="X66" s="25">
        <f>ROUND(IFERROR(V66*W66," "),2)</f>
        <v>0</v>
      </c>
      <c r="Z66" s="23">
        <f>INDEX(Input!$C$21:$AL$25,MATCH('Residential Bills_Yr 2_6 Units'!$A66,Input!$A$21:$A$25,0),MATCH('Residential Bills_Yr 2_6 Units'!Z$61,Input!$C$20:$AL$20,0))</f>
        <v>5.9352</v>
      </c>
      <c r="AA66" s="24">
        <f>IF(($B$55-AA65)&gt;Input!L95,Input!L95,($B$55-AA65))</f>
        <v>0</v>
      </c>
      <c r="AB66" s="25">
        <f>ROUND(IFERROR(Z66*AA66," "),2)</f>
        <v>0</v>
      </c>
      <c r="AD66" s="23">
        <f>INDEX(Input!$C$21:$AL$25,MATCH('Residential Bills_Yr 2_6 Units'!$A66,Input!$A$21:$A$25,0),MATCH('Residential Bills_Yr 2_6 Units'!AD$61,Input!$C$20:$AL$20,0))</f>
        <v>5.9352</v>
      </c>
      <c r="AE66" s="24">
        <f>IF(($B$55-AE65)&gt;Input!M95,Input!M95,($B$55-AE65))</f>
        <v>0</v>
      </c>
      <c r="AF66" s="25">
        <f>ROUND(IFERROR(AD66*AE66," "),2)</f>
        <v>0</v>
      </c>
      <c r="AH66" s="23">
        <f>INDEX(Input!$C$21:$AL$25,MATCH('Residential Bills_Yr 2_6 Units'!$A66,Input!$A$21:$A$25,0),MATCH('Residential Bills_Yr 2_6 Units'!AH$61,Input!$C$20:$AL$20,0))</f>
        <v>5.9352</v>
      </c>
      <c r="AI66" s="24">
        <f>IF(($B$55-AI65)&gt;Input!N95,Input!N95,($B$55-AI65))</f>
        <v>0</v>
      </c>
      <c r="AJ66" s="25">
        <f>ROUND(IFERROR(AH66*AI66," "),2)</f>
        <v>0</v>
      </c>
      <c r="AL66" s="23">
        <f>INDEX(Input!$C$21:$AL$25,MATCH('Residential Bills_Yr 2_6 Units'!$A66,Input!$A$21:$A$25,0),MATCH('Residential Bills_Yr 2_6 Units'!AL$61,Input!$C$20:$AL$20,0))</f>
        <v>5.9352</v>
      </c>
      <c r="AM66" s="24">
        <f>IF(($B$55-AM65)&gt;Input!O95,Input!O95,($B$55-AM65))</f>
        <v>0</v>
      </c>
      <c r="AN66" s="25">
        <f>ROUND(IFERROR(AL66*AM66," "),2)</f>
        <v>0</v>
      </c>
      <c r="AP66" s="23">
        <f>INDEX(Input!$C$21:$AL$25,MATCH('Residential Bills_Yr 2_6 Units'!$A66,Input!$A$21:$A$25,0),MATCH('Residential Bills_Yr 2_6 Units'!AP$61,Input!$C$20:$AL$20,0))</f>
        <v>5.9352</v>
      </c>
      <c r="AQ66" s="24">
        <f>IF(($B$55-AQ65)&gt;Input!P95,Input!P95,($B$55-AQ65))</f>
        <v>0</v>
      </c>
      <c r="AR66" s="25">
        <f>ROUND(IFERROR(AP66*AQ66," "),2)</f>
        <v>0</v>
      </c>
      <c r="AS66" s="30"/>
      <c r="AT66" s="23">
        <f>INDEX(Input!$C$21:$AL$25,MATCH('Residential Bills_Yr 2_6 Units'!$A66,Input!$A$21:$A$25,0),MATCH('Residential Bills_Yr 2_6 Units'!AT$61,Input!$C$20:$AL$20,0))</f>
        <v>5.9352</v>
      </c>
      <c r="AU66" s="24">
        <f>IF(($B$55-AU65)&gt;Input!Q95,Input!Q95,($B$55-AU65))</f>
        <v>0</v>
      </c>
      <c r="AV66" s="25">
        <f>ROUND(IFERROR(AT66*AU66," "),2)</f>
        <v>0</v>
      </c>
    </row>
    <row r="67" spans="1:48" x14ac:dyDescent="0.55000000000000004">
      <c r="A67" t="str">
        <f>A19</f>
        <v>Tier 3</v>
      </c>
      <c r="B67" s="23">
        <f>INDEX(Input!$C$21:$AL$25,MATCH('Residential Bills_Yr 2_6 Units'!$A67,Input!$A$21:$A$25,0),MATCH('Residential Bills_Yr 2_6 Units'!B$61,Input!$C$20:$AL$20,0))</f>
        <v>9.1687999999999992</v>
      </c>
      <c r="C67" s="24">
        <f>IF(OR(Input!F128="Tier 4",Input!F128="Tier 5"),IF(('Residential Bills_Yr 2_6 Units'!$B$55-'Residential Bills_Yr 2_6 Units'!C65-'Residential Bills_Yr 2_6 Units'!C66)&gt;Input!F89,Input!F89,('Residential Bills_Yr 2_6 Units'!$B$55-'Residential Bills_Yr 2_6 Units'!C65-'Residential Bills_Yr 2_6 Units'!C66)),('Residential Bills_Yr 2_6 Units'!$B$55-'Residential Bills_Yr 2_6 Units'!C65-'Residential Bills_Yr 2_6 Units'!C66))</f>
        <v>0</v>
      </c>
      <c r="D67" s="25">
        <f>ROUND(IFERROR(B67*C67," "),2)</f>
        <v>0</v>
      </c>
      <c r="F67" s="23">
        <f>INDEX(Input!$C$21:$AL$25,MATCH('Residential Bills_Yr 2_6 Units'!$A67,Input!$A$21:$A$25,0),MATCH('Residential Bills_Yr 2_6 Units'!F$61,Input!$C$20:$AL$20,0))</f>
        <v>9.1687999999999992</v>
      </c>
      <c r="G67" s="24">
        <f>IF(OR(Input!G128="Tier 4",Input!G128="Tier 5"),IF(('Residential Bills_Yr 2_6 Units'!$B$55-'Residential Bills_Yr 2_6 Units'!G65-'Residential Bills_Yr 2_6 Units'!G66)&gt;Input!G89,Input!G89,('Residential Bills_Yr 2_6 Units'!$B$55-'Residential Bills_Yr 2_6 Units'!G65-'Residential Bills_Yr 2_6 Units'!G66)),('Residential Bills_Yr 2_6 Units'!$B$55-'Residential Bills_Yr 2_6 Units'!G65-'Residential Bills_Yr 2_6 Units'!G66))</f>
        <v>0</v>
      </c>
      <c r="H67" s="25">
        <f>ROUND(IFERROR(F67*G67," "),2)</f>
        <v>0</v>
      </c>
      <c r="J67" s="23">
        <f>INDEX(Input!$C$21:$AL$25,MATCH('Residential Bills_Yr 2_6 Units'!$A67,Input!$A$21:$A$25,0),MATCH('Residential Bills_Yr 2_6 Units'!J$61,Input!$C$20:$AL$20,0))</f>
        <v>9.1687999999999992</v>
      </c>
      <c r="K67" s="24">
        <f>IF(OR(Input!H128="Tier 4",Input!H128="Tier 5"),IF(('Residential Bills_Yr 2_6 Units'!$B$55-'Residential Bills_Yr 2_6 Units'!K65-'Residential Bills_Yr 2_6 Units'!K66)&gt;Input!H89,Input!H89,('Residential Bills_Yr 2_6 Units'!$B$55-'Residential Bills_Yr 2_6 Units'!K65-'Residential Bills_Yr 2_6 Units'!K66)),('Residential Bills_Yr 2_6 Units'!$B$55-'Residential Bills_Yr 2_6 Units'!K65-'Residential Bills_Yr 2_6 Units'!K66))</f>
        <v>0</v>
      </c>
      <c r="L67" s="25">
        <f>ROUND(IFERROR(J67*K67," "),2)</f>
        <v>0</v>
      </c>
      <c r="N67" s="23">
        <f>INDEX(Input!$C$21:$AL$25,MATCH('Residential Bills_Yr 2_6 Units'!$A67,Input!$A$21:$A$25,0),MATCH('Residential Bills_Yr 2_6 Units'!N$61,Input!$C$20:$AL$20,0))</f>
        <v>9.1687999999999992</v>
      </c>
      <c r="O67" s="24">
        <f>IF(OR(Input!I128="Tier 4",Input!I128="Tier 5"),IF(('Residential Bills_Yr 2_6 Units'!$B$55-'Residential Bills_Yr 2_6 Units'!O65-'Residential Bills_Yr 2_6 Units'!O66)&gt;Input!I89,Input!I89,('Residential Bills_Yr 2_6 Units'!$B$55-'Residential Bills_Yr 2_6 Units'!O65-'Residential Bills_Yr 2_6 Units'!O66)),('Residential Bills_Yr 2_6 Units'!$B$55-'Residential Bills_Yr 2_6 Units'!O65-'Residential Bills_Yr 2_6 Units'!O66))</f>
        <v>0</v>
      </c>
      <c r="P67" s="25">
        <f>ROUND(IFERROR(N67*O67," "),2)</f>
        <v>0</v>
      </c>
      <c r="R67" s="23">
        <f>INDEX(Input!$C$21:$AL$25,MATCH('Residential Bills_Yr 2_6 Units'!$A67,Input!$A$21:$A$25,0),MATCH('Residential Bills_Yr 2_6 Units'!R$61,Input!$C$20:$AL$20,0))</f>
        <v>9.1687999999999992</v>
      </c>
      <c r="S67" s="24">
        <f>IF(OR(Input!J128="Tier 4",Input!J128="Tier 5"),IF(('Residential Bills_Yr 2_6 Units'!$B$55-'Residential Bills_Yr 2_6 Units'!S65-'Residential Bills_Yr 2_6 Units'!S66)&gt;Input!J89,Input!J89,('Residential Bills_Yr 2_6 Units'!$B$55-'Residential Bills_Yr 2_6 Units'!S65-'Residential Bills_Yr 2_6 Units'!S66)),('Residential Bills_Yr 2_6 Units'!$B$55-'Residential Bills_Yr 2_6 Units'!S65-'Residential Bills_Yr 2_6 Units'!S66))</f>
        <v>0</v>
      </c>
      <c r="T67" s="25">
        <f>ROUND(IFERROR(R67*S67," "),2)</f>
        <v>0</v>
      </c>
      <c r="V67" s="23">
        <f>INDEX(Input!$C$21:$AL$25,MATCH('Residential Bills_Yr 2_6 Units'!$A67,Input!$A$21:$A$25,0),MATCH('Residential Bills_Yr 2_6 Units'!V$61,Input!$C$20:$AL$20,0))</f>
        <v>9.1687999999999992</v>
      </c>
      <c r="W67" s="24">
        <f>IF(OR(Input!K128="Tier 4",Input!K128="Tier 5"),IF(('Residential Bills_Yr 2_6 Units'!$B$55-'Residential Bills_Yr 2_6 Units'!W65-'Residential Bills_Yr 2_6 Units'!W66)&gt;Input!K89,Input!K89,('Residential Bills_Yr 2_6 Units'!$B$55-'Residential Bills_Yr 2_6 Units'!W65-'Residential Bills_Yr 2_6 Units'!W66)),('Residential Bills_Yr 2_6 Units'!$B$55-'Residential Bills_Yr 2_6 Units'!W65-'Residential Bills_Yr 2_6 Units'!W66))</f>
        <v>0</v>
      </c>
      <c r="X67" s="25">
        <f>ROUND(IFERROR(V67*W67," "),2)</f>
        <v>0</v>
      </c>
      <c r="Z67" s="23">
        <f>INDEX(Input!$C$21:$AL$25,MATCH('Residential Bills_Yr 2_6 Units'!$A67,Input!$A$21:$A$25,0),MATCH('Residential Bills_Yr 2_6 Units'!Z$61,Input!$C$20:$AL$20,0))</f>
        <v>9.1687999999999992</v>
      </c>
      <c r="AA67" s="24">
        <f>IF(OR(Input!L128="Tier 4",Input!L128="Tier 5"),IF(('Residential Bills_Yr 2_6 Units'!$B$55-'Residential Bills_Yr 2_6 Units'!AA65-'Residential Bills_Yr 2_6 Units'!AA66)&gt;Input!L89,Input!L89,('Residential Bills_Yr 2_6 Units'!$B$55-'Residential Bills_Yr 2_6 Units'!AA65-'Residential Bills_Yr 2_6 Units'!AA66)),('Residential Bills_Yr 2_6 Units'!$B$55-'Residential Bills_Yr 2_6 Units'!AA65-'Residential Bills_Yr 2_6 Units'!AA66))</f>
        <v>0</v>
      </c>
      <c r="AB67" s="25">
        <f>ROUND(IFERROR(Z67*AA67," "),2)</f>
        <v>0</v>
      </c>
      <c r="AD67" s="23">
        <f>INDEX(Input!$C$21:$AL$25,MATCH('Residential Bills_Yr 2_6 Units'!$A67,Input!$A$21:$A$25,0),MATCH('Residential Bills_Yr 2_6 Units'!AD$61,Input!$C$20:$AL$20,0))</f>
        <v>9.1687999999999992</v>
      </c>
      <c r="AE67" s="24">
        <f>IF(OR(Input!M128="Tier 4",Input!M128="Tier 5"),IF(('Residential Bills_Yr 2_6 Units'!$B$55-'Residential Bills_Yr 2_6 Units'!AE65-'Residential Bills_Yr 2_6 Units'!AE66)&gt;Input!M89,Input!M89,('Residential Bills_Yr 2_6 Units'!$B$55-'Residential Bills_Yr 2_6 Units'!AE65-'Residential Bills_Yr 2_6 Units'!AE66)),('Residential Bills_Yr 2_6 Units'!$B$55-'Residential Bills_Yr 2_6 Units'!AE65-'Residential Bills_Yr 2_6 Units'!AE66))</f>
        <v>0</v>
      </c>
      <c r="AF67" s="25">
        <f>ROUND(IFERROR(AD67*AE67," "),2)</f>
        <v>0</v>
      </c>
      <c r="AH67" s="23">
        <f>INDEX(Input!$C$21:$AL$25,MATCH('Residential Bills_Yr 2_6 Units'!$A67,Input!$A$21:$A$25,0),MATCH('Residential Bills_Yr 2_6 Units'!AH$61,Input!$C$20:$AL$20,0))</f>
        <v>9.1687999999999992</v>
      </c>
      <c r="AI67" s="24">
        <f>IF(OR(Input!N128="Tier 4",Input!N128="Tier 5"),IF(('Residential Bills_Yr 2_6 Units'!$B$55-'Residential Bills_Yr 2_6 Units'!AI65-'Residential Bills_Yr 2_6 Units'!AI66)&gt;Input!N89,Input!N89,('Residential Bills_Yr 2_6 Units'!$B$55-'Residential Bills_Yr 2_6 Units'!AI65-'Residential Bills_Yr 2_6 Units'!AI66)),('Residential Bills_Yr 2_6 Units'!$B$55-'Residential Bills_Yr 2_6 Units'!AI65-'Residential Bills_Yr 2_6 Units'!AI66))</f>
        <v>0</v>
      </c>
      <c r="AJ67" s="25">
        <f>ROUND(IFERROR(AH67*AI67," "),2)</f>
        <v>0</v>
      </c>
      <c r="AL67" s="23">
        <f>INDEX(Input!$C$21:$AL$25,MATCH('Residential Bills_Yr 2_6 Units'!$A67,Input!$A$21:$A$25,0),MATCH('Residential Bills_Yr 2_6 Units'!AL$61,Input!$C$20:$AL$20,0))</f>
        <v>9.1687999999999992</v>
      </c>
      <c r="AM67" s="24">
        <f>IF(OR(Input!O128="Tier 4",Input!O128="Tier 5"),IF(('Residential Bills_Yr 2_6 Units'!$B$55-'Residential Bills_Yr 2_6 Units'!AM65-'Residential Bills_Yr 2_6 Units'!AM66)&gt;Input!O89,Input!O89,('Residential Bills_Yr 2_6 Units'!$B$55-'Residential Bills_Yr 2_6 Units'!AM65-'Residential Bills_Yr 2_6 Units'!AM66)),('Residential Bills_Yr 2_6 Units'!$B$55-'Residential Bills_Yr 2_6 Units'!AM65-'Residential Bills_Yr 2_6 Units'!AM66))</f>
        <v>0</v>
      </c>
      <c r="AN67" s="25">
        <f>ROUND(IFERROR(AL67*AM67," "),2)</f>
        <v>0</v>
      </c>
      <c r="AP67" s="23">
        <f>INDEX(Input!$C$21:$AL$25,MATCH('Residential Bills_Yr 2_6 Units'!$A67,Input!$A$21:$A$25,0),MATCH('Residential Bills_Yr 2_6 Units'!AP$61,Input!$C$20:$AL$20,0))</f>
        <v>9.1687999999999992</v>
      </c>
      <c r="AQ67" s="24">
        <f>IF(OR(Input!P128="Tier 4",Input!P128="Tier 5"),IF(('Residential Bills_Yr 2_6 Units'!$B$55-'Residential Bills_Yr 2_6 Units'!AQ65-'Residential Bills_Yr 2_6 Units'!AQ66)&gt;Input!P89,Input!P89,('Residential Bills_Yr 2_6 Units'!$B$55-'Residential Bills_Yr 2_6 Units'!AQ65-'Residential Bills_Yr 2_6 Units'!AQ66)),('Residential Bills_Yr 2_6 Units'!$B$55-'Residential Bills_Yr 2_6 Units'!AQ65-'Residential Bills_Yr 2_6 Units'!AQ66))</f>
        <v>0</v>
      </c>
      <c r="AR67" s="25">
        <f>ROUND(IFERROR(AP67*AQ67," "),2)</f>
        <v>0</v>
      </c>
      <c r="AS67" s="30"/>
      <c r="AT67" s="23">
        <f>INDEX(Input!$C$21:$AL$25,MATCH('Residential Bills_Yr 2_6 Units'!$A67,Input!$A$21:$A$25,0),MATCH('Residential Bills_Yr 2_6 Units'!AT$61,Input!$C$20:$AL$20,0))</f>
        <v>9.1687999999999992</v>
      </c>
      <c r="AU67" s="24">
        <f>IF(OR(Input!Q128="Tier 4",Input!Q128="Tier 5"),IF(('Residential Bills_Yr 2_6 Units'!$B$55-'Residential Bills_Yr 2_6 Units'!AU65-'Residential Bills_Yr 2_6 Units'!AU66)&gt;Input!Q89,Input!Q89,('Residential Bills_Yr 2_6 Units'!$B$55-'Residential Bills_Yr 2_6 Units'!AU65-'Residential Bills_Yr 2_6 Units'!AU66)),('Residential Bills_Yr 2_6 Units'!$B$55-'Residential Bills_Yr 2_6 Units'!AU65-'Residential Bills_Yr 2_6 Units'!AU66))</f>
        <v>0</v>
      </c>
      <c r="AV67" s="25">
        <f>ROUND(IFERROR(AT67*AU67," "),2)</f>
        <v>0</v>
      </c>
    </row>
    <row r="68" spans="1:48" ht="14.5" hidden="1" customHeight="1" x14ac:dyDescent="0.55000000000000004">
      <c r="A68" t="str">
        <f>A20</f>
        <v>Tier 4</v>
      </c>
      <c r="B68" s="23">
        <f>INDEX(Input!$C$21:$AL$25,MATCH('Residential Bills_Yr 2_6 Units'!$A68,Input!$A$21:$A$25,0),MATCH('Residential Bills_Yr 2_6 Units'!B$61,Input!$C$20:$AL$20,0))</f>
        <v>0</v>
      </c>
      <c r="C68" s="24" t="str">
        <f>IF(Input!F128="Tier 4",($B$55-C65-C66-C67),IF(Input!F128="Tier 5",IF(('Residential Bills_Yr 2_6 Units'!$B$55-'Residential Bills_Yr 2_6 Units'!C65-'Residential Bills_Yr 2_6 Units'!C66-'Residential Bills_Yr 2_6 Units'!C67)&gt;Input!F133,Input!F133,('Residential Bills_Yr 2_6 Units'!$B$55-'Residential Bills_Yr 2_6 Units'!C65-'Residential Bills_Yr 2_6 Units'!C66-'Residential Bills_Yr 2_6 Units'!C67))," "))</f>
        <v xml:space="preserve"> </v>
      </c>
      <c r="D68" s="25" t="str">
        <f t="shared" ref="D68:D69" si="24">IFERROR(B68*C68," ")</f>
        <v xml:space="preserve"> </v>
      </c>
      <c r="F68" s="23">
        <f>INDEX(Input!$C$21:$AL$25,MATCH('Residential Bills_Yr 2_6 Units'!$A68,Input!$A$21:$A$25,0),MATCH('Residential Bills_Yr 2_6 Units'!F$61,Input!$C$20:$AL$20,0))</f>
        <v>0</v>
      </c>
      <c r="G68" s="24" t="str">
        <f>IF(Input!G128="Tier 4",($B$55-G65-G66-G67),IF(Input!G128="Tier 5",IF(('Residential Bills_Yr 2_6 Units'!$B$55-'Residential Bills_Yr 2_6 Units'!G65-'Residential Bills_Yr 2_6 Units'!G66-'Residential Bills_Yr 2_6 Units'!G67)&gt;Input!G133,Input!G133,('Residential Bills_Yr 2_6 Units'!$B$55-'Residential Bills_Yr 2_6 Units'!G65-'Residential Bills_Yr 2_6 Units'!G66-'Residential Bills_Yr 2_6 Units'!G67))," "))</f>
        <v xml:space="preserve"> </v>
      </c>
      <c r="H68" s="25" t="str">
        <f t="shared" ref="H68:H69" si="25">IFERROR(F68*G68," ")</f>
        <v xml:space="preserve"> </v>
      </c>
      <c r="J68" s="23">
        <f>INDEX(Input!$C$21:$AL$25,MATCH('Residential Bills_Yr 2_6 Units'!$A68,Input!$A$21:$A$25,0),MATCH('Residential Bills_Yr 2_6 Units'!J$61,Input!$C$20:$AL$20,0))</f>
        <v>0</v>
      </c>
      <c r="K68" s="24" t="str">
        <f>IF(Input!H128="Tier 4",($B$55-K65-K66-K67),IF(Input!H128="Tier 5",IF(('Residential Bills_Yr 2_6 Units'!$B$55-'Residential Bills_Yr 2_6 Units'!K65-'Residential Bills_Yr 2_6 Units'!K66-'Residential Bills_Yr 2_6 Units'!K67)&gt;Input!H133,Input!H133,('Residential Bills_Yr 2_6 Units'!$B$55-'Residential Bills_Yr 2_6 Units'!K65-'Residential Bills_Yr 2_6 Units'!K66-'Residential Bills_Yr 2_6 Units'!K67))," "))</f>
        <v xml:space="preserve"> </v>
      </c>
      <c r="L68" s="25" t="str">
        <f t="shared" ref="L68:L69" si="26">IFERROR(J68*K68," ")</f>
        <v xml:space="preserve"> </v>
      </c>
      <c r="N68" s="23">
        <f>INDEX(Input!$C$21:$AL$25,MATCH('Residential Bills_Yr 2_6 Units'!$A68,Input!$A$21:$A$25,0),MATCH('Residential Bills_Yr 2_6 Units'!N$61,Input!$C$20:$AL$20,0))</f>
        <v>0</v>
      </c>
      <c r="O68" s="24" t="str">
        <f>IF(Input!I128="Tier 4",($B$55-O65-O66-O67),IF(Input!I128="Tier 5",IF(('Residential Bills_Yr 2_6 Units'!$B$55-'Residential Bills_Yr 2_6 Units'!O65-'Residential Bills_Yr 2_6 Units'!O66-'Residential Bills_Yr 2_6 Units'!O67)&gt;Input!I133,Input!I133,('Residential Bills_Yr 2_6 Units'!$B$55-'Residential Bills_Yr 2_6 Units'!O65-'Residential Bills_Yr 2_6 Units'!O66-'Residential Bills_Yr 2_6 Units'!O67))," "))</f>
        <v xml:space="preserve"> </v>
      </c>
      <c r="P68" s="25" t="str">
        <f t="shared" ref="P68:P69" si="27">IFERROR(N68*O68," ")</f>
        <v xml:space="preserve"> </v>
      </c>
      <c r="R68" s="23">
        <f>INDEX(Input!$C$21:$AL$25,MATCH('Residential Bills_Yr 2_6 Units'!$A68,Input!$A$21:$A$25,0),MATCH('Residential Bills_Yr 2_6 Units'!R$61,Input!$C$20:$AL$20,0))</f>
        <v>0</v>
      </c>
      <c r="S68" s="24" t="str">
        <f>IF(Input!J128="Tier 4",($B$55-S65-S66-S67),IF(Input!J128="Tier 5",IF(('Residential Bills_Yr 2_6 Units'!$B$55-'Residential Bills_Yr 2_6 Units'!S65-'Residential Bills_Yr 2_6 Units'!S66-'Residential Bills_Yr 2_6 Units'!S67)&gt;Input!J133,Input!J133,('Residential Bills_Yr 2_6 Units'!$B$55-'Residential Bills_Yr 2_6 Units'!S65-'Residential Bills_Yr 2_6 Units'!S66-'Residential Bills_Yr 2_6 Units'!S67))," "))</f>
        <v xml:space="preserve"> </v>
      </c>
      <c r="T68" s="25" t="str">
        <f t="shared" ref="T68:T69" si="28">IFERROR(R68*S68," ")</f>
        <v xml:space="preserve"> </v>
      </c>
      <c r="V68" s="23">
        <f>INDEX(Input!$C$21:$AL$25,MATCH('Residential Bills_Yr 2_6 Units'!$A68,Input!$A$21:$A$25,0),MATCH('Residential Bills_Yr 2_6 Units'!V$61,Input!$C$20:$AL$20,0))</f>
        <v>0</v>
      </c>
      <c r="W68" s="24" t="str">
        <f>IF(Input!K128="Tier 4",($B$55-W65-W66-W67),IF(Input!K128="Tier 5",IF(('Residential Bills_Yr 2_6 Units'!$B$55-'Residential Bills_Yr 2_6 Units'!W65-'Residential Bills_Yr 2_6 Units'!W66-'Residential Bills_Yr 2_6 Units'!W67)&gt;Input!K133,Input!K133,('Residential Bills_Yr 2_6 Units'!$B$55-'Residential Bills_Yr 2_6 Units'!W65-'Residential Bills_Yr 2_6 Units'!W66-'Residential Bills_Yr 2_6 Units'!W67))," "))</f>
        <v xml:space="preserve"> </v>
      </c>
      <c r="X68" s="25" t="str">
        <f t="shared" ref="X68:X69" si="29">IFERROR(V68*W68," ")</f>
        <v xml:space="preserve"> </v>
      </c>
      <c r="Z68" s="23">
        <f>INDEX(Input!$C$21:$AL$25,MATCH('Residential Bills_Yr 2_6 Units'!$A68,Input!$A$21:$A$25,0),MATCH('Residential Bills_Yr 2_6 Units'!Z$61,Input!$C$20:$AL$20,0))</f>
        <v>0</v>
      </c>
      <c r="AA68" s="24" t="str">
        <f>IF(Input!L128="Tier 4",($B$55-AA65-AA66-AA67),IF(Input!L128="Tier 5",IF(('Residential Bills_Yr 2_6 Units'!$B$55-'Residential Bills_Yr 2_6 Units'!AA65-'Residential Bills_Yr 2_6 Units'!AA66-'Residential Bills_Yr 2_6 Units'!AA67)&gt;Input!L133,Input!L133,('Residential Bills_Yr 2_6 Units'!$B$55-'Residential Bills_Yr 2_6 Units'!AA65-'Residential Bills_Yr 2_6 Units'!AA66-'Residential Bills_Yr 2_6 Units'!AA67))," "))</f>
        <v xml:space="preserve"> </v>
      </c>
      <c r="AB68" s="25" t="str">
        <f t="shared" ref="AB68:AB69" si="30">IFERROR(Z68*AA68," ")</f>
        <v xml:space="preserve"> </v>
      </c>
      <c r="AD68" s="23">
        <f>INDEX(Input!$C$21:$AL$25,MATCH('Residential Bills_Yr 2_6 Units'!$A68,Input!$A$21:$A$25,0),MATCH('Residential Bills_Yr 2_6 Units'!AD$61,Input!$C$20:$AL$20,0))</f>
        <v>0</v>
      </c>
      <c r="AE68" s="24" t="str">
        <f>IF(Input!M128="Tier 4",($B$55-AE65-AE66-AE67),IF(Input!M128="Tier 5",IF(('Residential Bills_Yr 2_6 Units'!$B$55-'Residential Bills_Yr 2_6 Units'!AE65-'Residential Bills_Yr 2_6 Units'!AE66-'Residential Bills_Yr 2_6 Units'!AE67)&gt;Input!M133,Input!M133,('Residential Bills_Yr 2_6 Units'!$B$55-'Residential Bills_Yr 2_6 Units'!AE65-'Residential Bills_Yr 2_6 Units'!AE66-'Residential Bills_Yr 2_6 Units'!AE67))," "))</f>
        <v xml:space="preserve"> </v>
      </c>
      <c r="AF68" s="25" t="str">
        <f t="shared" ref="AF68:AF69" si="31">IFERROR(AD68*AE68," ")</f>
        <v xml:space="preserve"> </v>
      </c>
      <c r="AH68" s="23">
        <f>INDEX(Input!$C$21:$AL$25,MATCH('Residential Bills_Yr 2_6 Units'!$A68,Input!$A$21:$A$25,0),MATCH('Residential Bills_Yr 2_6 Units'!AH$61,Input!$C$20:$AL$20,0))</f>
        <v>0</v>
      </c>
      <c r="AI68" s="24" t="str">
        <f>IF(Input!N128="Tier 4",($B$55-AI65-AI66-AI67),IF(Input!N128="Tier 5",IF(('Residential Bills_Yr 2_6 Units'!$B$55-'Residential Bills_Yr 2_6 Units'!AI65-'Residential Bills_Yr 2_6 Units'!AI66-'Residential Bills_Yr 2_6 Units'!AI67)&gt;Input!N133,Input!N133,('Residential Bills_Yr 2_6 Units'!$B$55-'Residential Bills_Yr 2_6 Units'!AI65-'Residential Bills_Yr 2_6 Units'!AI66-'Residential Bills_Yr 2_6 Units'!AI67))," "))</f>
        <v xml:space="preserve"> </v>
      </c>
      <c r="AJ68" s="25" t="str">
        <f t="shared" ref="AJ68:AJ69" si="32">IFERROR(AH68*AI68," ")</f>
        <v xml:space="preserve"> </v>
      </c>
      <c r="AL68" s="23">
        <f>INDEX(Input!$C$21:$AL$25,MATCH('Residential Bills_Yr 2_6 Units'!$A68,Input!$A$21:$A$25,0),MATCH('Residential Bills_Yr 2_6 Units'!AL$61,Input!$C$20:$AL$20,0))</f>
        <v>0</v>
      </c>
      <c r="AM68" s="24" t="str">
        <f>IF(Input!O128="Tier 4",($B$55-AM65-AM66-AM67),IF(Input!O128="Tier 5",IF(('Residential Bills_Yr 2_6 Units'!$B$55-'Residential Bills_Yr 2_6 Units'!AM65-'Residential Bills_Yr 2_6 Units'!AM66-'Residential Bills_Yr 2_6 Units'!AM67)&gt;Input!O133,Input!O133,('Residential Bills_Yr 2_6 Units'!$B$55-'Residential Bills_Yr 2_6 Units'!AM65-'Residential Bills_Yr 2_6 Units'!AM66-'Residential Bills_Yr 2_6 Units'!AM67))," "))</f>
        <v xml:space="preserve"> </v>
      </c>
      <c r="AN68" s="25" t="str">
        <f t="shared" ref="AN68:AN69" si="33">IFERROR(AL68*AM68," ")</f>
        <v xml:space="preserve"> </v>
      </c>
      <c r="AP68" s="23">
        <f>INDEX(Input!$C$21:$AL$25,MATCH('Residential Bills_Yr 2_6 Units'!$A68,Input!$A$21:$A$25,0),MATCH('Residential Bills_Yr 2_6 Units'!AP$61,Input!$C$20:$AL$20,0))</f>
        <v>0</v>
      </c>
      <c r="AQ68" s="24" t="str">
        <f>IF(Input!P128="Tier 4",($B$55-AQ65-AQ66-AQ67),IF(Input!P128="Tier 5",IF(('Residential Bills_Yr 2_6 Units'!$B$55-'Residential Bills_Yr 2_6 Units'!AQ65-'Residential Bills_Yr 2_6 Units'!AQ66-'Residential Bills_Yr 2_6 Units'!AQ67)&gt;Input!P133,Input!P133,('Residential Bills_Yr 2_6 Units'!$B$55-'Residential Bills_Yr 2_6 Units'!AQ65-'Residential Bills_Yr 2_6 Units'!AQ66-'Residential Bills_Yr 2_6 Units'!AQ67))," "))</f>
        <v xml:space="preserve"> </v>
      </c>
      <c r="AR68" s="25" t="str">
        <f t="shared" ref="AR68:AR69" si="34">IFERROR(AP68*AQ68," ")</f>
        <v xml:space="preserve"> </v>
      </c>
      <c r="AS68" s="30"/>
      <c r="AT68" s="23">
        <f>INDEX(Input!$C$21:$AL$25,MATCH('Residential Bills_Yr 2_6 Units'!$A68,Input!$A$21:$A$25,0),MATCH('Residential Bills_Yr 2_6 Units'!AT$61,Input!$C$20:$AL$20,0))</f>
        <v>0</v>
      </c>
      <c r="AU68" s="24" t="str">
        <f>IF(Input!Q128="Tier 4",($B$55-AU65-AU66-AU67),IF(Input!Q128="Tier 5",IF(('Residential Bills_Yr 2_6 Units'!$B$55-'Residential Bills_Yr 2_6 Units'!AU65-'Residential Bills_Yr 2_6 Units'!AU66-'Residential Bills_Yr 2_6 Units'!AU67)&gt;Input!Q133,Input!Q133,('Residential Bills_Yr 2_6 Units'!$B$55-'Residential Bills_Yr 2_6 Units'!AU65-'Residential Bills_Yr 2_6 Units'!AU66-'Residential Bills_Yr 2_6 Units'!AU67))," "))</f>
        <v xml:space="preserve"> </v>
      </c>
      <c r="AV68" s="25" t="str">
        <f t="shared" ref="AV68:AV69" si="35">IFERROR(AT68*AU68," ")</f>
        <v xml:space="preserve"> </v>
      </c>
    </row>
    <row r="69" spans="1:48" ht="14.5" hidden="1" customHeight="1" x14ac:dyDescent="0.55000000000000004">
      <c r="A69" t="str">
        <f>A21</f>
        <v>Tier 5</v>
      </c>
      <c r="B69" s="23">
        <f>INDEX(Input!$C$21:$AL$25,MATCH('Residential Bills_Yr 2_6 Units'!$A69,Input!$A$21:$A$25,0),MATCH('Residential Bills_Yr 2_6 Units'!B$61,Input!$C$20:$AL$20,0))</f>
        <v>0</v>
      </c>
      <c r="C69" s="24" t="str">
        <f>IF(Input!F128="Tier 5",('Residential Bills_Yr 2_6 Units'!$B$55-'Residential Bills_Yr 2_6 Units'!C65-'Residential Bills_Yr 2_6 Units'!C66-'Residential Bills_Yr 2_6 Units'!C67-'Residential Bills_Yr 2_6 Units'!C68)," ")</f>
        <v xml:space="preserve"> </v>
      </c>
      <c r="D69" s="25" t="str">
        <f t="shared" si="24"/>
        <v xml:space="preserve"> </v>
      </c>
      <c r="F69" s="23">
        <f>INDEX(Input!$C$21:$AL$25,MATCH('Residential Bills_Yr 2_6 Units'!$A69,Input!$A$21:$A$25,0),MATCH('Residential Bills_Yr 2_6 Units'!F$61,Input!$C$20:$AL$20,0))</f>
        <v>0</v>
      </c>
      <c r="G69" s="24" t="str">
        <f>IF(Input!G128="Tier 5",('Residential Bills_Yr 2_6 Units'!$B$55-'Residential Bills_Yr 2_6 Units'!G65-'Residential Bills_Yr 2_6 Units'!G66-'Residential Bills_Yr 2_6 Units'!G67-'Residential Bills_Yr 2_6 Units'!G68)," ")</f>
        <v xml:space="preserve"> </v>
      </c>
      <c r="H69" s="25" t="str">
        <f t="shared" si="25"/>
        <v xml:space="preserve"> </v>
      </c>
      <c r="J69" s="23">
        <f>INDEX(Input!$C$21:$AL$25,MATCH('Residential Bills_Yr 2_6 Units'!$A69,Input!$A$21:$A$25,0),MATCH('Residential Bills_Yr 2_6 Units'!J$61,Input!$C$20:$AL$20,0))</f>
        <v>0</v>
      </c>
      <c r="K69" s="24" t="str">
        <f>IF(Input!H128="Tier 5",('Residential Bills_Yr 2_6 Units'!$B$55-'Residential Bills_Yr 2_6 Units'!K$17-'Residential Bills_Yr 2_6 Units'!K$18-'Residential Bills_Yr 2_6 Units'!K$19-'Residential Bills_Yr 2_6 Units'!K$20)," ")</f>
        <v xml:space="preserve"> </v>
      </c>
      <c r="L69" s="25" t="str">
        <f t="shared" si="26"/>
        <v xml:space="preserve"> </v>
      </c>
      <c r="N69" s="23">
        <f>INDEX(Input!$C$21:$AL$25,MATCH('Residential Bills_Yr 2_6 Units'!$A69,Input!$A$21:$A$25,0),MATCH('Residential Bills_Yr 2_6 Units'!N$61,Input!$C$20:$AL$20,0))</f>
        <v>0</v>
      </c>
      <c r="O69" s="24" t="str">
        <f>IF(Input!I128="Tier 5",('Residential Bills_Yr 2_6 Units'!$B$55-'Residential Bills_Yr 2_6 Units'!O$17-'Residential Bills_Yr 2_6 Units'!O$18-'Residential Bills_Yr 2_6 Units'!O$19-'Residential Bills_Yr 2_6 Units'!O$20)," ")</f>
        <v xml:space="preserve"> </v>
      </c>
      <c r="P69" s="25" t="str">
        <f t="shared" si="27"/>
        <v xml:space="preserve"> </v>
      </c>
      <c r="R69" s="23">
        <f>INDEX(Input!$C$21:$AL$25,MATCH('Residential Bills_Yr 2_6 Units'!$A69,Input!$A$21:$A$25,0),MATCH('Residential Bills_Yr 2_6 Units'!R$61,Input!$C$20:$AL$20,0))</f>
        <v>0</v>
      </c>
      <c r="S69" s="24" t="str">
        <f>IF(Input!J128="Tier 5",('Residential Bills_Yr 2_6 Units'!$B$55-'Residential Bills_Yr 2_6 Units'!S$17-'Residential Bills_Yr 2_6 Units'!S$18-'Residential Bills_Yr 2_6 Units'!S$19-'Residential Bills_Yr 2_6 Units'!S$20)," ")</f>
        <v xml:space="preserve"> </v>
      </c>
      <c r="T69" s="25" t="str">
        <f t="shared" si="28"/>
        <v xml:space="preserve"> </v>
      </c>
      <c r="V69" s="23">
        <f>INDEX(Input!$C$21:$AL$25,MATCH('Residential Bills_Yr 2_6 Units'!$A69,Input!$A$21:$A$25,0),MATCH('Residential Bills_Yr 2_6 Units'!V$61,Input!$C$20:$AL$20,0))</f>
        <v>0</v>
      </c>
      <c r="W69" s="24" t="str">
        <f>IF(Input!K128="Tier 5",('Residential Bills_Yr 2_6 Units'!$B$55-'Residential Bills_Yr 2_6 Units'!W$17-'Residential Bills_Yr 2_6 Units'!W$18-'Residential Bills_Yr 2_6 Units'!W$19-'Residential Bills_Yr 2_6 Units'!W$20)," ")</f>
        <v xml:space="preserve"> </v>
      </c>
      <c r="X69" s="25" t="str">
        <f t="shared" si="29"/>
        <v xml:space="preserve"> </v>
      </c>
      <c r="Z69" s="23">
        <f>INDEX(Input!$C$21:$AL$25,MATCH('Residential Bills_Yr 2_6 Units'!$A69,Input!$A$21:$A$25,0),MATCH('Residential Bills_Yr 2_6 Units'!Z$61,Input!$C$20:$AL$20,0))</f>
        <v>0</v>
      </c>
      <c r="AA69" s="24" t="str">
        <f>IF(Input!L128="Tier 5",('Residential Bills_Yr 2_6 Units'!$B$55-'Residential Bills_Yr 2_6 Units'!AA$17-'Residential Bills_Yr 2_6 Units'!AA$18-'Residential Bills_Yr 2_6 Units'!AA$19-'Residential Bills_Yr 2_6 Units'!AA$20)," ")</f>
        <v xml:space="preserve"> </v>
      </c>
      <c r="AB69" s="25" t="str">
        <f t="shared" si="30"/>
        <v xml:space="preserve"> </v>
      </c>
      <c r="AD69" s="23">
        <f>INDEX(Input!$C$21:$AL$25,MATCH('Residential Bills_Yr 2_6 Units'!$A69,Input!$A$21:$A$25,0),MATCH('Residential Bills_Yr 2_6 Units'!AD$61,Input!$C$20:$AL$20,0))</f>
        <v>0</v>
      </c>
      <c r="AE69" s="24" t="str">
        <f>IF(Input!M128="Tier 5",('Residential Bills_Yr 2_6 Units'!$B$55-'Residential Bills_Yr 2_6 Units'!AE$17-'Residential Bills_Yr 2_6 Units'!AE$18-'Residential Bills_Yr 2_6 Units'!AE$19-'Residential Bills_Yr 2_6 Units'!AE$20)," ")</f>
        <v xml:space="preserve"> </v>
      </c>
      <c r="AF69" s="25" t="str">
        <f t="shared" si="31"/>
        <v xml:space="preserve"> </v>
      </c>
      <c r="AH69" s="23">
        <f>INDEX(Input!$C$21:$AL$25,MATCH('Residential Bills_Yr 2_6 Units'!$A69,Input!$A$21:$A$25,0),MATCH('Residential Bills_Yr 2_6 Units'!AH$61,Input!$C$20:$AL$20,0))</f>
        <v>0</v>
      </c>
      <c r="AI69" s="24" t="str">
        <f>IF(Input!N128="Tier 5",('Residential Bills_Yr 2_6 Units'!$B$55-'Residential Bills_Yr 2_6 Units'!AI$17-'Residential Bills_Yr 2_6 Units'!AI$18-'Residential Bills_Yr 2_6 Units'!AI$19-'Residential Bills_Yr 2_6 Units'!AI$20)," ")</f>
        <v xml:space="preserve"> </v>
      </c>
      <c r="AJ69" s="25" t="str">
        <f t="shared" si="32"/>
        <v xml:space="preserve"> </v>
      </c>
      <c r="AL69" s="23">
        <f>INDEX(Input!$C$21:$AL$25,MATCH('Residential Bills_Yr 2_6 Units'!$A69,Input!$A$21:$A$25,0),MATCH('Residential Bills_Yr 2_6 Units'!AL$61,Input!$C$20:$AL$20,0))</f>
        <v>0</v>
      </c>
      <c r="AM69" s="24" t="str">
        <f>IF(Input!O128="Tier 5",('Residential Bills_Yr 2_6 Units'!$B$55-'Residential Bills_Yr 2_6 Units'!AM$17-'Residential Bills_Yr 2_6 Units'!AM$18-'Residential Bills_Yr 2_6 Units'!AM$19-'Residential Bills_Yr 2_6 Units'!AM$20)," ")</f>
        <v xml:space="preserve"> </v>
      </c>
      <c r="AN69" s="25" t="str">
        <f t="shared" si="33"/>
        <v xml:space="preserve"> </v>
      </c>
      <c r="AP69" s="23">
        <f>INDEX(Input!$C$21:$AL$25,MATCH('Residential Bills_Yr 2_6 Units'!$A69,Input!$A$21:$A$25,0),MATCH('Residential Bills_Yr 2_6 Units'!AP$61,Input!$C$20:$AL$20,0))</f>
        <v>0</v>
      </c>
      <c r="AQ69" s="24" t="str">
        <f>IF(Input!P128="Tier 5",('Residential Bills_Yr 2_6 Units'!$B$55-'Residential Bills_Yr 2_6 Units'!AQ$17-'Residential Bills_Yr 2_6 Units'!AQ$18-'Residential Bills_Yr 2_6 Units'!AQ$19-'Residential Bills_Yr 2_6 Units'!AQ$20)," ")</f>
        <v xml:space="preserve"> </v>
      </c>
      <c r="AR69" s="25" t="str">
        <f t="shared" si="34"/>
        <v xml:space="preserve"> </v>
      </c>
      <c r="AS69" s="30"/>
      <c r="AT69" s="23">
        <f>INDEX(Input!$C$21:$AL$25,MATCH('Residential Bills_Yr 2_6 Units'!$A69,Input!$A$21:$A$25,0),MATCH('Residential Bills_Yr 2_6 Units'!AT$61,Input!$C$20:$AL$20,0))</f>
        <v>0</v>
      </c>
      <c r="AU69" s="24" t="str">
        <f>IF(Input!Q128="Tier 5",('Residential Bills_Yr 2_6 Units'!$B$55-'Residential Bills_Yr 2_6 Units'!AU$17-'Residential Bills_Yr 2_6 Units'!AU$18-'Residential Bills_Yr 2_6 Units'!AU$19-'Residential Bills_Yr 2_6 Units'!AU$20)," ")</f>
        <v xml:space="preserve"> </v>
      </c>
      <c r="AV69" s="25" t="str">
        <f t="shared" si="35"/>
        <v xml:space="preserve"> </v>
      </c>
    </row>
    <row r="70" spans="1:48" x14ac:dyDescent="0.55000000000000004">
      <c r="A70" t="s">
        <v>39</v>
      </c>
      <c r="B70" s="16"/>
      <c r="C70" s="24">
        <f>SUM(C65:C69)</f>
        <v>6</v>
      </c>
      <c r="D70" s="26">
        <f>SUM(D65:D69)+D62</f>
        <v>77.900000000000006</v>
      </c>
      <c r="F70" s="16"/>
      <c r="G70" s="24">
        <f>SUM(G65:G69)</f>
        <v>6</v>
      </c>
      <c r="H70" s="26">
        <f>SUM(H65:H69)+H62</f>
        <v>77.900000000000006</v>
      </c>
      <c r="J70" s="16"/>
      <c r="K70" s="24">
        <f>SUM(K65:K69)</f>
        <v>6</v>
      </c>
      <c r="L70" s="26">
        <f>SUM(L65:L69)+L62</f>
        <v>77.900000000000006</v>
      </c>
      <c r="N70" s="16"/>
      <c r="O70" s="24">
        <f>SUM(O65:O69)</f>
        <v>6</v>
      </c>
      <c r="P70" s="26">
        <f>SUM(P65:P69)+P62</f>
        <v>77.900000000000006</v>
      </c>
      <c r="R70" s="16"/>
      <c r="S70" s="24">
        <f>SUM(S65:S69)</f>
        <v>6</v>
      </c>
      <c r="T70" s="26">
        <f>SUM(T65:T69)+T62</f>
        <v>77.900000000000006</v>
      </c>
      <c r="V70" s="16"/>
      <c r="W70" s="24">
        <f>SUM(W65:W69)</f>
        <v>6</v>
      </c>
      <c r="X70" s="26">
        <f>SUM(X65:X69)+X62</f>
        <v>77.900000000000006</v>
      </c>
      <c r="Z70" s="16"/>
      <c r="AA70" s="24">
        <f>SUM(AA65:AA69)</f>
        <v>6</v>
      </c>
      <c r="AB70" s="26">
        <f>SUM(AB65:AB69)+AB62</f>
        <v>77.900000000000006</v>
      </c>
      <c r="AD70" s="16"/>
      <c r="AE70" s="24">
        <f>SUM(AE65:AE69)</f>
        <v>6</v>
      </c>
      <c r="AF70" s="26">
        <f>SUM(AF65:AF69)+AF62</f>
        <v>77.900000000000006</v>
      </c>
      <c r="AH70" s="16"/>
      <c r="AI70" s="24">
        <f>SUM(AI65:AI69)</f>
        <v>6</v>
      </c>
      <c r="AJ70" s="26">
        <f>SUM(AJ65:AJ69)+AJ62</f>
        <v>77.900000000000006</v>
      </c>
      <c r="AL70" s="16"/>
      <c r="AM70" s="24">
        <f>SUM(AM65:AM69)</f>
        <v>6</v>
      </c>
      <c r="AN70" s="26">
        <f>SUM(AN65:AN69)+AN62</f>
        <v>77.900000000000006</v>
      </c>
      <c r="AP70" s="16"/>
      <c r="AQ70" s="24">
        <f>SUM(AQ65:AQ69)</f>
        <v>6</v>
      </c>
      <c r="AR70" s="26">
        <f>SUM(AR65:AR69)+AR62</f>
        <v>77.900000000000006</v>
      </c>
      <c r="AS70" s="64"/>
      <c r="AT70" s="16"/>
      <c r="AU70" s="24">
        <f>SUM(AU65:AU69)</f>
        <v>6</v>
      </c>
      <c r="AV70" s="26">
        <f>SUM(AV65:AV69)+AV62</f>
        <v>77.900000000000006</v>
      </c>
    </row>
    <row r="71" spans="1:48" x14ac:dyDescent="0.55000000000000004">
      <c r="B71" s="16"/>
      <c r="C71" s="17"/>
      <c r="D71" s="19"/>
      <c r="F71" s="16"/>
      <c r="G71" s="17"/>
      <c r="H71" s="19"/>
      <c r="J71" s="16"/>
      <c r="K71" s="17"/>
      <c r="L71" s="19"/>
      <c r="N71" s="16"/>
      <c r="O71" s="17"/>
      <c r="P71" s="19"/>
      <c r="R71" s="16"/>
      <c r="S71" s="17"/>
      <c r="T71" s="19"/>
      <c r="V71" s="16"/>
      <c r="W71" s="17"/>
      <c r="X71" s="19"/>
      <c r="Z71" s="16"/>
      <c r="AA71" s="17"/>
      <c r="AB71" s="19"/>
      <c r="AD71" s="16"/>
      <c r="AE71" s="17"/>
      <c r="AF71" s="19"/>
      <c r="AH71" s="16"/>
      <c r="AI71" s="17"/>
      <c r="AJ71" s="19"/>
      <c r="AL71" s="16"/>
      <c r="AM71" s="17"/>
      <c r="AN71" s="19"/>
      <c r="AP71" s="16"/>
      <c r="AQ71" s="17"/>
      <c r="AR71" s="19"/>
      <c r="AS71" s="17"/>
      <c r="AT71" s="16"/>
      <c r="AU71" s="17"/>
      <c r="AV71" s="19"/>
    </row>
    <row r="72" spans="1:48" x14ac:dyDescent="0.55000000000000004">
      <c r="A72" s="1" t="s">
        <v>34</v>
      </c>
      <c r="B72" s="20" t="s">
        <v>29</v>
      </c>
      <c r="C72" s="21" t="s">
        <v>44</v>
      </c>
      <c r="D72" s="22" t="s">
        <v>30</v>
      </c>
      <c r="F72" s="20" t="s">
        <v>29</v>
      </c>
      <c r="G72" s="21" t="s">
        <v>44</v>
      </c>
      <c r="H72" s="111" t="s">
        <v>30</v>
      </c>
      <c r="J72" s="20" t="s">
        <v>29</v>
      </c>
      <c r="K72" s="21" t="s">
        <v>44</v>
      </c>
      <c r="L72" s="111" t="s">
        <v>30</v>
      </c>
      <c r="N72" s="20" t="s">
        <v>29</v>
      </c>
      <c r="O72" s="21" t="s">
        <v>44</v>
      </c>
      <c r="P72" s="111" t="s">
        <v>30</v>
      </c>
      <c r="R72" s="20" t="s">
        <v>29</v>
      </c>
      <c r="S72" s="21" t="s">
        <v>44</v>
      </c>
      <c r="T72" s="111" t="s">
        <v>30</v>
      </c>
      <c r="V72" s="20" t="s">
        <v>29</v>
      </c>
      <c r="W72" s="21" t="s">
        <v>44</v>
      </c>
      <c r="X72" s="111" t="s">
        <v>30</v>
      </c>
      <c r="Z72" s="20" t="s">
        <v>29</v>
      </c>
      <c r="AA72" s="21" t="s">
        <v>44</v>
      </c>
      <c r="AB72" s="111" t="s">
        <v>30</v>
      </c>
      <c r="AD72" s="20" t="s">
        <v>29</v>
      </c>
      <c r="AE72" s="21" t="s">
        <v>44</v>
      </c>
      <c r="AF72" s="111" t="s">
        <v>30</v>
      </c>
      <c r="AH72" s="20" t="s">
        <v>29</v>
      </c>
      <c r="AI72" s="21" t="s">
        <v>44</v>
      </c>
      <c r="AJ72" s="111" t="s">
        <v>30</v>
      </c>
      <c r="AL72" s="20" t="s">
        <v>29</v>
      </c>
      <c r="AM72" s="21" t="s">
        <v>44</v>
      </c>
      <c r="AN72" s="111" t="s">
        <v>30</v>
      </c>
      <c r="AP72" s="20" t="s">
        <v>29</v>
      </c>
      <c r="AQ72" s="21" t="s">
        <v>44</v>
      </c>
      <c r="AR72" s="111" t="s">
        <v>30</v>
      </c>
      <c r="AS72" s="170"/>
      <c r="AT72" s="20" t="s">
        <v>29</v>
      </c>
      <c r="AU72" s="21" t="s">
        <v>44</v>
      </c>
      <c r="AV72" s="111" t="s">
        <v>30</v>
      </c>
    </row>
    <row r="73" spans="1:48" s="44" customFormat="1" x14ac:dyDescent="0.55000000000000004">
      <c r="A73" s="44" t="str">
        <f t="shared" ref="A73:A85" si="36">A25</f>
        <v>SRF 1</v>
      </c>
      <c r="B73" s="173">
        <f>INDEX(Input!$C$62:$AM$74,MATCH($A73,Input!$A$62:$A$74,0),MATCH(B$61,Input!$C$61:$AM$61,0))</f>
        <v>0.04</v>
      </c>
      <c r="C73" s="31" t="str">
        <f>IF(VLOOKUP($A73,Input!$A$62:$B$74,2,FALSE)="Percentage",D$70,IF(VLOOKUP($A73,Input!$A$62:$B$74,2,FALSE)="Fixed","Fixed",(C$70)))</f>
        <v>Fixed</v>
      </c>
      <c r="D73" s="25">
        <f t="shared" ref="D73:D85" si="37">ROUND(IF(C73="Fixed",B73,(B73*C73)),2)</f>
        <v>0.04</v>
      </c>
      <c r="F73" s="173">
        <f>INDEX(Input!$C$62:$AM$74,MATCH($A73,Input!$A$62:$A$74,0),MATCH(F$61,Input!$C$61:$AM$61,0))</f>
        <v>0.04</v>
      </c>
      <c r="G73" s="31" t="str">
        <f>IF(VLOOKUP($A73,Input!$A$62:$B$74,2,FALSE)="Percentage",H$70,IF(VLOOKUP($A73,Input!$A$62:$B$74,2,FALSE)="Fixed","Fixed",(G$70)))</f>
        <v>Fixed</v>
      </c>
      <c r="H73" s="25">
        <f t="shared" ref="H73:H85" si="38">ROUND(IF(G73="Fixed",F73,(F73*G73)),2)</f>
        <v>0.04</v>
      </c>
      <c r="J73" s="173">
        <f>INDEX(Input!$C$62:$AM$74,MATCH($A73,Input!$A$62:$A$74,0),MATCH(J$61,Input!$C$61:$AM$61,0))</f>
        <v>0.04</v>
      </c>
      <c r="K73" s="31" t="str">
        <f>IF(VLOOKUP($A73,Input!$A$62:$B$74,2,FALSE)="Percentage",L$70,IF(VLOOKUP($A73,Input!$A$62:$B$74,2,FALSE)="Fixed","Fixed",(K$70)))</f>
        <v>Fixed</v>
      </c>
      <c r="L73" s="25">
        <f t="shared" ref="L73:L85" si="39">ROUND(IF(K73="Fixed",J73,(J73*K73)),2)</f>
        <v>0.04</v>
      </c>
      <c r="N73" s="173">
        <f>INDEX(Input!$C$62:$AM$74,MATCH($A73,Input!$A$62:$A$74,0),MATCH(N$61,Input!$C$61:$AM$61,0))</f>
        <v>0.04</v>
      </c>
      <c r="O73" s="31" t="str">
        <f>IF(VLOOKUP($A73,Input!$A$62:$B$74,2,FALSE)="Percentage",P$70,IF(VLOOKUP($A73,Input!$A$62:$B$74,2,FALSE)="Fixed","Fixed",(O$70)))</f>
        <v>Fixed</v>
      </c>
      <c r="P73" s="25">
        <f t="shared" ref="P73:P85" si="40">ROUND(IF(O73="Fixed",N73,(N73*O73)),2)</f>
        <v>0.04</v>
      </c>
      <c r="R73" s="173">
        <f>INDEX(Input!$C$62:$AM$74,MATCH($A73,Input!$A$62:$A$74,0),MATCH(R$61,Input!$C$61:$AM$61,0))</f>
        <v>0.04</v>
      </c>
      <c r="S73" s="31" t="str">
        <f>IF(VLOOKUP($A73,Input!$A$62:$B$74,2,FALSE)="Percentage",T$70,IF(VLOOKUP($A73,Input!$A$62:$B$74,2,FALSE)="Fixed","Fixed",(S$70)))</f>
        <v>Fixed</v>
      </c>
      <c r="T73" s="25">
        <f t="shared" ref="T73:T85" si="41">ROUND(IF(S73="Fixed",R73,(R73*S73)),2)</f>
        <v>0.04</v>
      </c>
      <c r="V73" s="173">
        <f>INDEX(Input!$C$62:$AM$74,MATCH($A73,Input!$A$62:$A$74,0),MATCH(V$61,Input!$C$61:$AM$61,0))</f>
        <v>0.04</v>
      </c>
      <c r="W73" s="31" t="str">
        <f>IF(VLOOKUP($A73,Input!$A$62:$B$74,2,FALSE)="Percentage",X$70,IF(VLOOKUP($A73,Input!$A$62:$B$74,2,FALSE)="Fixed","Fixed",(W$70)))</f>
        <v>Fixed</v>
      </c>
      <c r="X73" s="25">
        <f t="shared" ref="X73:X85" si="42">ROUND(IF(W73="Fixed",V73,(V73*W73)),2)</f>
        <v>0.04</v>
      </c>
      <c r="Z73" s="173">
        <f>INDEX(Input!$C$62:$AM$74,MATCH($A73,Input!$A$62:$A$74,0),MATCH(Z$61,Input!$C$61:$AM$61,0))</f>
        <v>0.04</v>
      </c>
      <c r="AA73" s="31" t="str">
        <f>IF(VLOOKUP($A73,Input!$A$62:$B$74,2,FALSE)="Percentage",AB$70,IF(VLOOKUP($A73,Input!$A$62:$B$74,2,FALSE)="Fixed","Fixed",(AA$70)))</f>
        <v>Fixed</v>
      </c>
      <c r="AB73" s="25">
        <f t="shared" ref="AB73:AB85" si="43">ROUND(IF(AA73="Fixed",Z73,(Z73*AA73)),2)</f>
        <v>0.04</v>
      </c>
      <c r="AD73" s="173">
        <f>INDEX(Input!$C$62:$AM$74,MATCH($A73,Input!$A$62:$A$74,0),MATCH(AD$61,Input!$C$61:$AM$61,0))</f>
        <v>0.04</v>
      </c>
      <c r="AE73" s="31" t="str">
        <f>IF(VLOOKUP($A73,Input!$A$62:$B$74,2,FALSE)="Percentage",AF$70,IF(VLOOKUP($A73,Input!$A$62:$B$74,2,FALSE)="Fixed","Fixed",(AE$70)))</f>
        <v>Fixed</v>
      </c>
      <c r="AF73" s="25">
        <f t="shared" ref="AF73:AF85" si="44">ROUND(IF(AE73="Fixed",AD73,(AD73*AE73)),2)</f>
        <v>0.04</v>
      </c>
      <c r="AH73" s="173">
        <f>INDEX(Input!$C$62:$AM$74,MATCH($A73,Input!$A$62:$A$74,0),MATCH(AH$61,Input!$C$61:$AM$61,0))</f>
        <v>0.04</v>
      </c>
      <c r="AI73" s="31" t="str">
        <f>IF(VLOOKUP($A73,Input!$A$62:$B$74,2,FALSE)="Percentage",AJ$70,IF(VLOOKUP($A73,Input!$A$62:$B$74,2,FALSE)="Fixed","Fixed",(AI$70)))</f>
        <v>Fixed</v>
      </c>
      <c r="AJ73" s="25">
        <f t="shared" ref="AJ73:AJ85" si="45">ROUND(IF(AI73="Fixed",AH73,(AH73*AI73)),2)</f>
        <v>0.04</v>
      </c>
      <c r="AL73" s="173">
        <f>INDEX(Input!$C$62:$AM$74,MATCH($A73,Input!$A$62:$A$74,0),MATCH(AL$61,Input!$C$61:$AM$61,0))</f>
        <v>0.04</v>
      </c>
      <c r="AM73" s="31" t="str">
        <f>IF(VLOOKUP($A73,Input!$A$62:$B$74,2,FALSE)="Percentage",AN$70,IF(VLOOKUP($A73,Input!$A$62:$B$74,2,FALSE)="Fixed","Fixed",(AM$70)))</f>
        <v>Fixed</v>
      </c>
      <c r="AN73" s="25">
        <f t="shared" ref="AN73:AN85" si="46">ROUND(IF(AM73="Fixed",AL73,(AL73*AM73)),2)</f>
        <v>0.04</v>
      </c>
      <c r="AP73" s="173">
        <f>INDEX(Input!$C$62:$AM$74,MATCH($A73,Input!$A$62:$A$74,0),MATCH(AP$61,Input!$C$61:$AM$61,0))</f>
        <v>0.04</v>
      </c>
      <c r="AQ73" s="31" t="str">
        <f>IF(VLOOKUP($A73,Input!$A$62:$B$74,2,FALSE)="Percentage",AR$70,IF(VLOOKUP($A73,Input!$A$62:$B$74,2,FALSE)="Fixed","Fixed",(AQ$70)))</f>
        <v>Fixed</v>
      </c>
      <c r="AR73" s="25">
        <f t="shared" ref="AR73:AR85" si="47">ROUND(IF(AQ73="Fixed",AP73,(AP73*AQ73)),2)</f>
        <v>0.04</v>
      </c>
      <c r="AS73" s="30"/>
      <c r="AT73" s="173">
        <f>INDEX(Input!$C$62:$AM$74,MATCH($A73,Input!$A$62:$A$74,0),MATCH(AT$61,Input!$C$61:$AM$61,0))</f>
        <v>0.04</v>
      </c>
      <c r="AU73" s="31" t="str">
        <f>IF(VLOOKUP($A73,Input!$A$62:$B$74,2,FALSE)="Percentage",AV$70,IF(VLOOKUP($A73,Input!$A$62:$B$74,2,FALSE)="Fixed","Fixed",(AU$70)))</f>
        <v>Fixed</v>
      </c>
      <c r="AV73" s="25">
        <f t="shared" ref="AV73:AV85" si="48">ROUND(IF(AU73="Fixed",AT73,(AT73*AU73)),2)</f>
        <v>0.04</v>
      </c>
    </row>
    <row r="74" spans="1:48" x14ac:dyDescent="0.55000000000000004">
      <c r="A74" t="str">
        <f t="shared" si="36"/>
        <v>SRF 2</v>
      </c>
      <c r="B74" s="173">
        <f>INDEX(Input!$C$62:$AM$74,MATCH($A74,Input!$A$62:$A$74,0),MATCH(B$61,Input!$C$61:$AM$61,0))</f>
        <v>0.02</v>
      </c>
      <c r="C74" s="31" t="str">
        <f>IF(VLOOKUP($A74,Input!$A$62:$B$74,2,FALSE)="Percentage",D$70,IF(VLOOKUP($A74,Input!$A$62:$B$74,2,FALSE)="Fixed","Fixed",(C$70)))</f>
        <v>Fixed</v>
      </c>
      <c r="D74" s="25">
        <f t="shared" si="37"/>
        <v>0.02</v>
      </c>
      <c r="F74" s="173">
        <f>INDEX(Input!$C$62:$AM$74,MATCH($A74,Input!$A$62:$A$74,0),MATCH(F$61,Input!$C$61:$AM$61,0))</f>
        <v>0.02</v>
      </c>
      <c r="G74" s="31" t="str">
        <f>IF(VLOOKUP($A74,Input!$A$62:$B$74,2,FALSE)="Percentage",H$70,IF(VLOOKUP($A74,Input!$A$62:$B$74,2,FALSE)="Fixed","Fixed",(G$70)))</f>
        <v>Fixed</v>
      </c>
      <c r="H74" s="25">
        <f t="shared" si="38"/>
        <v>0.02</v>
      </c>
      <c r="J74" s="173">
        <f>INDEX(Input!$C$62:$AM$74,MATCH($A74,Input!$A$62:$A$74,0),MATCH(J$61,Input!$C$61:$AM$61,0))</f>
        <v>0.02</v>
      </c>
      <c r="K74" s="31" t="str">
        <f>IF(VLOOKUP($A74,Input!$A$62:$B$74,2,FALSE)="Percentage",L$70,IF(VLOOKUP($A74,Input!$A$62:$B$74,2,FALSE)="Fixed","Fixed",(K$70)))</f>
        <v>Fixed</v>
      </c>
      <c r="L74" s="25">
        <f t="shared" si="39"/>
        <v>0.02</v>
      </c>
      <c r="N74" s="173">
        <f>INDEX(Input!$C$62:$AM$74,MATCH($A74,Input!$A$62:$A$74,0),MATCH(N$61,Input!$C$61:$AM$61,0))</f>
        <v>0.02</v>
      </c>
      <c r="O74" s="31" t="str">
        <f>IF(VLOOKUP($A74,Input!$A$62:$B$74,2,FALSE)="Percentage",P$70,IF(VLOOKUP($A74,Input!$A$62:$B$74,2,FALSE)="Fixed","Fixed",(O$70)))</f>
        <v>Fixed</v>
      </c>
      <c r="P74" s="25">
        <f t="shared" si="40"/>
        <v>0.02</v>
      </c>
      <c r="R74" s="173">
        <f>INDEX(Input!$C$62:$AM$74,MATCH($A74,Input!$A$62:$A$74,0),MATCH(R$61,Input!$C$61:$AM$61,0))</f>
        <v>0.02</v>
      </c>
      <c r="S74" s="31" t="str">
        <f>IF(VLOOKUP($A74,Input!$A$62:$B$74,2,FALSE)="Percentage",T$70,IF(VLOOKUP($A74,Input!$A$62:$B$74,2,FALSE)="Fixed","Fixed",(S$70)))</f>
        <v>Fixed</v>
      </c>
      <c r="T74" s="25">
        <f t="shared" si="41"/>
        <v>0.02</v>
      </c>
      <c r="V74" s="173">
        <f>INDEX(Input!$C$62:$AM$74,MATCH($A74,Input!$A$62:$A$74,0),MATCH(V$61,Input!$C$61:$AM$61,0))</f>
        <v>0.02</v>
      </c>
      <c r="W74" s="31" t="str">
        <f>IF(VLOOKUP($A74,Input!$A$62:$B$74,2,FALSE)="Percentage",X$70,IF(VLOOKUP($A74,Input!$A$62:$B$74,2,FALSE)="Fixed","Fixed",(W$70)))</f>
        <v>Fixed</v>
      </c>
      <c r="X74" s="25">
        <f t="shared" si="42"/>
        <v>0.02</v>
      </c>
      <c r="Z74" s="173">
        <f>INDEX(Input!$C$62:$AM$74,MATCH($A74,Input!$A$62:$A$74,0),MATCH(Z$61,Input!$C$61:$AM$61,0))</f>
        <v>0.02</v>
      </c>
      <c r="AA74" s="31" t="str">
        <f>IF(VLOOKUP($A74,Input!$A$62:$B$74,2,FALSE)="Percentage",AB$70,IF(VLOOKUP($A74,Input!$A$62:$B$74,2,FALSE)="Fixed","Fixed",(AA$70)))</f>
        <v>Fixed</v>
      </c>
      <c r="AB74" s="25">
        <f t="shared" si="43"/>
        <v>0.02</v>
      </c>
      <c r="AD74" s="173">
        <f>INDEX(Input!$C$62:$AM$74,MATCH($A74,Input!$A$62:$A$74,0),MATCH(AD$61,Input!$C$61:$AM$61,0))</f>
        <v>0.02</v>
      </c>
      <c r="AE74" s="31" t="str">
        <f>IF(VLOOKUP($A74,Input!$A$62:$B$74,2,FALSE)="Percentage",AF$70,IF(VLOOKUP($A74,Input!$A$62:$B$74,2,FALSE)="Fixed","Fixed",(AE$70)))</f>
        <v>Fixed</v>
      </c>
      <c r="AF74" s="25">
        <f t="shared" si="44"/>
        <v>0.02</v>
      </c>
      <c r="AH74" s="173">
        <f>INDEX(Input!$C$62:$AM$74,MATCH($A74,Input!$A$62:$A$74,0),MATCH(AH$61,Input!$C$61:$AM$61,0))</f>
        <v>0.02</v>
      </c>
      <c r="AI74" s="31" t="str">
        <f>IF(VLOOKUP($A74,Input!$A$62:$B$74,2,FALSE)="Percentage",AJ$70,IF(VLOOKUP($A74,Input!$A$62:$B$74,2,FALSE)="Fixed","Fixed",(AI$70)))</f>
        <v>Fixed</v>
      </c>
      <c r="AJ74" s="25">
        <f t="shared" si="45"/>
        <v>0.02</v>
      </c>
      <c r="AL74" s="173">
        <f>INDEX(Input!$C$62:$AM$74,MATCH($A74,Input!$A$62:$A$74,0),MATCH(AL$61,Input!$C$61:$AM$61,0))</f>
        <v>0.02</v>
      </c>
      <c r="AM74" s="31" t="str">
        <f>IF(VLOOKUP($A74,Input!$A$62:$B$74,2,FALSE)="Percentage",AN$70,IF(VLOOKUP($A74,Input!$A$62:$B$74,2,FALSE)="Fixed","Fixed",(AM$70)))</f>
        <v>Fixed</v>
      </c>
      <c r="AN74" s="25">
        <f t="shared" si="46"/>
        <v>0.02</v>
      </c>
      <c r="AP74" s="173">
        <f>INDEX(Input!$C$62:$AM$74,MATCH($A74,Input!$A$62:$A$74,0),MATCH(AP$61,Input!$C$61:$AM$61,0))</f>
        <v>0.02</v>
      </c>
      <c r="AQ74" s="31" t="str">
        <f>IF(VLOOKUP($A74,Input!$A$62:$B$74,2,FALSE)="Percentage",AR$70,IF(VLOOKUP($A74,Input!$A$62:$B$74,2,FALSE)="Fixed","Fixed",(AQ$70)))</f>
        <v>Fixed</v>
      </c>
      <c r="AR74" s="25">
        <f t="shared" si="47"/>
        <v>0.02</v>
      </c>
      <c r="AS74" s="30"/>
      <c r="AT74" s="173">
        <f>INDEX(Input!$C$62:$AM$74,MATCH($A74,Input!$A$62:$A$74,0),MATCH(AT$61,Input!$C$61:$AM$61,0))</f>
        <v>0.02</v>
      </c>
      <c r="AU74" s="31" t="str">
        <f>IF(VLOOKUP($A74,Input!$A$62:$B$74,2,FALSE)="Percentage",AV$70,IF(VLOOKUP($A74,Input!$A$62:$B$74,2,FALSE)="Fixed","Fixed",(AU$70)))</f>
        <v>Fixed</v>
      </c>
      <c r="AV74" s="25">
        <f t="shared" si="48"/>
        <v>0.02</v>
      </c>
    </row>
    <row r="75" spans="1:48" x14ac:dyDescent="0.55000000000000004">
      <c r="A75" t="str">
        <f t="shared" si="36"/>
        <v>WRAP</v>
      </c>
      <c r="B75" s="173">
        <f>INDEX(Input!$C$62:$AM$74,MATCH($A75,Input!$A$62:$A$74,0),MATCH(B$61,Input!$C$61:$AM$61,0))</f>
        <v>-0.15</v>
      </c>
      <c r="C75" s="31">
        <f>IF(VLOOKUP($A75,Input!$A$62:$B$74,2,FALSE)="Percentage",D$70,IF(VLOOKUP($A75,Input!$A$62:$B$74,2,FALSE)="Fixed","Fixed",(C$70)))</f>
        <v>77.900000000000006</v>
      </c>
      <c r="D75" s="25">
        <f>ROUND(IF(C75="Fixed",B75,(B75*C75)),2)</f>
        <v>-11.69</v>
      </c>
      <c r="F75" s="173">
        <f>INDEX(Input!$C$62:$AM$74,MATCH($A75,Input!$A$62:$A$74,0),MATCH(F$61,Input!$C$61:$AM$61,0))</f>
        <v>-0.15</v>
      </c>
      <c r="G75" s="31">
        <f>IF(VLOOKUP($A75,Input!$A$62:$B$74,2,FALSE)="Percentage",H$70,IF(VLOOKUP($A75,Input!$A$62:$B$74,2,FALSE)="Fixed","Fixed",(G$70)))</f>
        <v>77.900000000000006</v>
      </c>
      <c r="H75" s="25">
        <f t="shared" si="38"/>
        <v>-11.69</v>
      </c>
      <c r="J75" s="173">
        <f>INDEX(Input!$C$62:$AM$74,MATCH($A75,Input!$A$62:$A$74,0),MATCH(J$61,Input!$C$61:$AM$61,0))</f>
        <v>-0.15</v>
      </c>
      <c r="K75" s="31">
        <f>IF(VLOOKUP($A75,Input!$A$62:$B$74,2,FALSE)="Percentage",L$70,IF(VLOOKUP($A75,Input!$A$62:$B$74,2,FALSE)="Fixed","Fixed",(K$70)))</f>
        <v>77.900000000000006</v>
      </c>
      <c r="L75" s="25">
        <f t="shared" si="39"/>
        <v>-11.69</v>
      </c>
      <c r="N75" s="173">
        <f>INDEX(Input!$C$62:$AM$74,MATCH($A75,Input!$A$62:$A$74,0),MATCH(N$61,Input!$C$61:$AM$61,0))</f>
        <v>-0.15</v>
      </c>
      <c r="O75" s="31">
        <f>IF(VLOOKUP($A75,Input!$A$62:$B$74,2,FALSE)="Percentage",P$70,IF(VLOOKUP($A75,Input!$A$62:$B$74,2,FALSE)="Fixed","Fixed",(O$70)))</f>
        <v>77.900000000000006</v>
      </c>
      <c r="P75" s="25">
        <f t="shared" si="40"/>
        <v>-11.69</v>
      </c>
      <c r="R75" s="173">
        <f>INDEX(Input!$C$62:$AM$74,MATCH($A75,Input!$A$62:$A$74,0),MATCH(R$61,Input!$C$61:$AM$61,0))</f>
        <v>-0.15</v>
      </c>
      <c r="S75" s="31">
        <f>IF(VLOOKUP($A75,Input!$A$62:$B$74,2,FALSE)="Percentage",T$70,IF(VLOOKUP($A75,Input!$A$62:$B$74,2,FALSE)="Fixed","Fixed",(S$70)))</f>
        <v>77.900000000000006</v>
      </c>
      <c r="T75" s="25">
        <f t="shared" si="41"/>
        <v>-11.69</v>
      </c>
      <c r="V75" s="173">
        <f>INDEX(Input!$C$62:$AM$74,MATCH($A75,Input!$A$62:$A$74,0),MATCH(V$61,Input!$C$61:$AM$61,0))</f>
        <v>-0.15</v>
      </c>
      <c r="W75" s="31">
        <f>IF(VLOOKUP($A75,Input!$A$62:$B$74,2,FALSE)="Percentage",X$70,IF(VLOOKUP($A75,Input!$A$62:$B$74,2,FALSE)="Fixed","Fixed",(W$70)))</f>
        <v>77.900000000000006</v>
      </c>
      <c r="X75" s="25">
        <f t="shared" si="42"/>
        <v>-11.69</v>
      </c>
      <c r="Z75" s="173">
        <f>INDEX(Input!$C$62:$AM$74,MATCH($A75,Input!$A$62:$A$74,0),MATCH(Z$61,Input!$C$61:$AM$61,0))</f>
        <v>-0.15</v>
      </c>
      <c r="AA75" s="31">
        <f>IF(VLOOKUP($A75,Input!$A$62:$B$74,2,FALSE)="Percentage",AB$70,IF(VLOOKUP($A75,Input!$A$62:$B$74,2,FALSE)="Fixed","Fixed",(AA$70)))</f>
        <v>77.900000000000006</v>
      </c>
      <c r="AB75" s="25">
        <f t="shared" si="43"/>
        <v>-11.69</v>
      </c>
      <c r="AD75" s="173">
        <f>INDEX(Input!$C$62:$AM$74,MATCH($A75,Input!$A$62:$A$74,0),MATCH(AD$61,Input!$C$61:$AM$61,0))</f>
        <v>-0.15</v>
      </c>
      <c r="AE75" s="31">
        <f>IF(VLOOKUP($A75,Input!$A$62:$B$74,2,FALSE)="Percentage",AF$70,IF(VLOOKUP($A75,Input!$A$62:$B$74,2,FALSE)="Fixed","Fixed",(AE$70)))</f>
        <v>77.900000000000006</v>
      </c>
      <c r="AF75" s="25">
        <f t="shared" si="44"/>
        <v>-11.69</v>
      </c>
      <c r="AH75" s="173">
        <f>INDEX(Input!$C$62:$AM$74,MATCH($A75,Input!$A$62:$A$74,0),MATCH(AH$61,Input!$C$61:$AM$61,0))</f>
        <v>-0.15</v>
      </c>
      <c r="AI75" s="31">
        <f>IF(VLOOKUP($A75,Input!$A$62:$B$74,2,FALSE)="Percentage",AJ$70,IF(VLOOKUP($A75,Input!$A$62:$B$74,2,FALSE)="Fixed","Fixed",(AI$70)))</f>
        <v>77.900000000000006</v>
      </c>
      <c r="AJ75" s="25">
        <f t="shared" si="45"/>
        <v>-11.69</v>
      </c>
      <c r="AL75" s="173">
        <f>INDEX(Input!$C$62:$AM$74,MATCH($A75,Input!$A$62:$A$74,0),MATCH(AL$61,Input!$C$61:$AM$61,0))</f>
        <v>-0.15</v>
      </c>
      <c r="AM75" s="31">
        <f>IF(VLOOKUP($A75,Input!$A$62:$B$74,2,FALSE)="Percentage",AN$70,IF(VLOOKUP($A75,Input!$A$62:$B$74,2,FALSE)="Fixed","Fixed",(AM$70)))</f>
        <v>77.900000000000006</v>
      </c>
      <c r="AN75" s="25">
        <f t="shared" si="46"/>
        <v>-11.69</v>
      </c>
      <c r="AP75" s="173">
        <f>INDEX(Input!$C$62:$AM$74,MATCH($A75,Input!$A$62:$A$74,0),MATCH(AP$61,Input!$C$61:$AM$61,0))</f>
        <v>-0.15</v>
      </c>
      <c r="AQ75" s="31">
        <f>IF(VLOOKUP($A75,Input!$A$62:$B$74,2,FALSE)="Percentage",AR$70,IF(VLOOKUP($A75,Input!$A$62:$B$74,2,FALSE)="Fixed","Fixed",(AQ$70)))</f>
        <v>77.900000000000006</v>
      </c>
      <c r="AR75" s="25">
        <f t="shared" si="47"/>
        <v>-11.69</v>
      </c>
      <c r="AS75" s="30"/>
      <c r="AT75" s="173">
        <f>INDEX(Input!$C$62:$AM$74,MATCH($A75,Input!$A$62:$A$74,0),MATCH(AT$61,Input!$C$61:$AM$61,0))</f>
        <v>-0.15</v>
      </c>
      <c r="AU75" s="31">
        <f>IF(VLOOKUP($A75,Input!$A$62:$B$74,2,FALSE)="Percentage",AV$70,IF(VLOOKUP($A75,Input!$A$62:$B$74,2,FALSE)="Fixed","Fixed",(AU$70)))</f>
        <v>77.900000000000006</v>
      </c>
      <c r="AV75" s="25">
        <f t="shared" si="48"/>
        <v>-11.69</v>
      </c>
    </row>
    <row r="76" spans="1:48" x14ac:dyDescent="0.55000000000000004">
      <c r="A76" t="str">
        <f t="shared" si="36"/>
        <v>PRVMA</v>
      </c>
      <c r="B76" s="173">
        <f>INDEX(Input!$C$62:$AM$74,MATCH($A76,Input!$A$62:$A$74,0),MATCH(B$61,Input!$C$61:$AM$61,0))</f>
        <v>8.8400000000000006E-3</v>
      </c>
      <c r="C76" s="31">
        <f>IF(VLOOKUP($A76,Input!$A$62:$B$74,2,FALSE)="Percentage",D$70,IF(VLOOKUP($A76,Input!$A$62:$B$74,2,FALSE)="Fixed","Fixed",(C$70)))</f>
        <v>6</v>
      </c>
      <c r="D76" s="25">
        <f t="shared" si="37"/>
        <v>0.05</v>
      </c>
      <c r="F76" s="173">
        <f>INDEX(Input!$C$62:$AM$74,MATCH($A76,Input!$A$62:$A$74,0),MATCH(F$61,Input!$C$61:$AM$61,0))</f>
        <v>8.8400000000000006E-3</v>
      </c>
      <c r="G76" s="31">
        <f>IF(VLOOKUP($A76,Input!$A$62:$B$74,2,FALSE)="Percentage",H$70,IF(VLOOKUP($A76,Input!$A$62:$B$74,2,FALSE)="Fixed","Fixed",(G$70)))</f>
        <v>6</v>
      </c>
      <c r="H76" s="25">
        <f t="shared" si="38"/>
        <v>0.05</v>
      </c>
      <c r="J76" s="173">
        <f>INDEX(Input!$C$62:$AM$74,MATCH($A76,Input!$A$62:$A$74,0),MATCH(J$61,Input!$C$61:$AM$61,0))</f>
        <v>8.8400000000000006E-3</v>
      </c>
      <c r="K76" s="31">
        <f>IF(VLOOKUP($A76,Input!$A$62:$B$74,2,FALSE)="Percentage",L$70,IF(VLOOKUP($A76,Input!$A$62:$B$74,2,FALSE)="Fixed","Fixed",(K$70)))</f>
        <v>6</v>
      </c>
      <c r="L76" s="25">
        <f t="shared" si="39"/>
        <v>0.05</v>
      </c>
      <c r="N76" s="173">
        <f>INDEX(Input!$C$62:$AM$74,MATCH($A76,Input!$A$62:$A$74,0),MATCH(N$61,Input!$C$61:$AM$61,0))</f>
        <v>8.8400000000000006E-3</v>
      </c>
      <c r="O76" s="31">
        <f>IF(VLOOKUP($A76,Input!$A$62:$B$74,2,FALSE)="Percentage",P$70,IF(VLOOKUP($A76,Input!$A$62:$B$74,2,FALSE)="Fixed","Fixed",(O$70)))</f>
        <v>6</v>
      </c>
      <c r="P76" s="25">
        <f t="shared" si="40"/>
        <v>0.05</v>
      </c>
      <c r="R76" s="173">
        <f>INDEX(Input!$C$62:$AM$74,MATCH($A76,Input!$A$62:$A$74,0),MATCH(R$61,Input!$C$61:$AM$61,0))</f>
        <v>8.8400000000000006E-3</v>
      </c>
      <c r="S76" s="31">
        <f>IF(VLOOKUP($A76,Input!$A$62:$B$74,2,FALSE)="Percentage",T$70,IF(VLOOKUP($A76,Input!$A$62:$B$74,2,FALSE)="Fixed","Fixed",(S$70)))</f>
        <v>6</v>
      </c>
      <c r="T76" s="25">
        <f t="shared" si="41"/>
        <v>0.05</v>
      </c>
      <c r="V76" s="173">
        <f>INDEX(Input!$C$62:$AM$74,MATCH($A76,Input!$A$62:$A$74,0),MATCH(V$61,Input!$C$61:$AM$61,0))</f>
        <v>8.8400000000000006E-3</v>
      </c>
      <c r="W76" s="31">
        <f>IF(VLOOKUP($A76,Input!$A$62:$B$74,2,FALSE)="Percentage",X$70,IF(VLOOKUP($A76,Input!$A$62:$B$74,2,FALSE)="Fixed","Fixed",(W$70)))</f>
        <v>6</v>
      </c>
      <c r="X76" s="25">
        <f t="shared" si="42"/>
        <v>0.05</v>
      </c>
      <c r="Z76" s="173">
        <f>INDEX(Input!$C$62:$AM$74,MATCH($A76,Input!$A$62:$A$74,0),MATCH(Z$61,Input!$C$61:$AM$61,0))</f>
        <v>8.8400000000000006E-3</v>
      </c>
      <c r="AA76" s="31">
        <f>IF(VLOOKUP($A76,Input!$A$62:$B$74,2,FALSE)="Percentage",AB$70,IF(VLOOKUP($A76,Input!$A$62:$B$74,2,FALSE)="Fixed","Fixed",(AA$70)))</f>
        <v>6</v>
      </c>
      <c r="AB76" s="25">
        <f t="shared" si="43"/>
        <v>0.05</v>
      </c>
      <c r="AD76" s="173">
        <f>INDEX(Input!$C$62:$AM$74,MATCH($A76,Input!$A$62:$A$74,0),MATCH(AD$61,Input!$C$61:$AM$61,0))</f>
        <v>8.8400000000000006E-3</v>
      </c>
      <c r="AE76" s="31">
        <f>IF(VLOOKUP($A76,Input!$A$62:$B$74,2,FALSE)="Percentage",AF$70,IF(VLOOKUP($A76,Input!$A$62:$B$74,2,FALSE)="Fixed","Fixed",(AE$70)))</f>
        <v>6</v>
      </c>
      <c r="AF76" s="25">
        <f t="shared" si="44"/>
        <v>0.05</v>
      </c>
      <c r="AH76" s="173">
        <f>INDEX(Input!$C$62:$AM$74,MATCH($A76,Input!$A$62:$A$74,0),MATCH(AH$61,Input!$C$61:$AM$61,0))</f>
        <v>8.8400000000000006E-3</v>
      </c>
      <c r="AI76" s="31">
        <f>IF(VLOOKUP($A76,Input!$A$62:$B$74,2,FALSE)="Percentage",AJ$70,IF(VLOOKUP($A76,Input!$A$62:$B$74,2,FALSE)="Fixed","Fixed",(AI$70)))</f>
        <v>6</v>
      </c>
      <c r="AJ76" s="25">
        <f t="shared" si="45"/>
        <v>0.05</v>
      </c>
      <c r="AL76" s="173">
        <f>INDEX(Input!$C$62:$AM$74,MATCH($A76,Input!$A$62:$A$74,0),MATCH(AL$61,Input!$C$61:$AM$61,0))</f>
        <v>8.8400000000000006E-3</v>
      </c>
      <c r="AM76" s="31">
        <f>IF(VLOOKUP($A76,Input!$A$62:$B$74,2,FALSE)="Percentage",AN$70,IF(VLOOKUP($A76,Input!$A$62:$B$74,2,FALSE)="Fixed","Fixed",(AM$70)))</f>
        <v>6</v>
      </c>
      <c r="AN76" s="25">
        <f t="shared" si="46"/>
        <v>0.05</v>
      </c>
      <c r="AP76" s="173">
        <f>INDEX(Input!$C$62:$AM$74,MATCH($A76,Input!$A$62:$A$74,0),MATCH(AP$61,Input!$C$61:$AM$61,0))</f>
        <v>8.8400000000000006E-3</v>
      </c>
      <c r="AQ76" s="31">
        <f>IF(VLOOKUP($A76,Input!$A$62:$B$74,2,FALSE)="Percentage",AR$70,IF(VLOOKUP($A76,Input!$A$62:$B$74,2,FALSE)="Fixed","Fixed",(AQ$70)))</f>
        <v>6</v>
      </c>
      <c r="AR76" s="25">
        <f t="shared" si="47"/>
        <v>0.05</v>
      </c>
      <c r="AS76" s="30"/>
      <c r="AT76" s="173">
        <f>INDEX(Input!$C$62:$AM$74,MATCH($A76,Input!$A$62:$A$74,0),MATCH(AT$61,Input!$C$61:$AM$61,0))</f>
        <v>8.8400000000000006E-3</v>
      </c>
      <c r="AU76" s="31">
        <f>IF(VLOOKUP($A76,Input!$A$62:$B$74,2,FALSE)="Percentage",AV$70,IF(VLOOKUP($A76,Input!$A$62:$B$74,2,FALSE)="Fixed","Fixed",(AU$70)))</f>
        <v>6</v>
      </c>
      <c r="AV76" s="25">
        <f t="shared" si="48"/>
        <v>0.05</v>
      </c>
    </row>
    <row r="77" spans="1:48" x14ac:dyDescent="0.55000000000000004">
      <c r="A77" t="str">
        <f t="shared" si="36"/>
        <v>2022 Surcredit</v>
      </c>
      <c r="B77" s="173">
        <f>INDEX(Input!$C$62:$AM$74,MATCH($A77,Input!$A$62:$A$74,0),MATCH(B$61,Input!$C$61:$AM$61,0))</f>
        <v>0</v>
      </c>
      <c r="C77" s="31" t="str">
        <f>IF(VLOOKUP($A77,Input!$A$62:$B$74,2,FALSE)="Percentage",D$70,IF(VLOOKUP($A77,Input!$A$62:$B$74,2,FALSE)="Fixed","Fixed",(C$70)))</f>
        <v>Fixed</v>
      </c>
      <c r="D77" s="25">
        <f t="shared" si="37"/>
        <v>0</v>
      </c>
      <c r="F77" s="173">
        <f>INDEX(Input!$C$62:$AM$74,MATCH($A77,Input!$A$62:$A$74,0),MATCH(F$61,Input!$C$61:$AM$61,0))</f>
        <v>0</v>
      </c>
      <c r="G77" s="31" t="str">
        <f>IF(VLOOKUP($A77,Input!$A$62:$B$74,2,FALSE)="Percentage",H$70,IF(VLOOKUP($A77,Input!$A$62:$B$74,2,FALSE)="Fixed","Fixed",(G$70)))</f>
        <v>Fixed</v>
      </c>
      <c r="H77" s="25">
        <f t="shared" si="38"/>
        <v>0</v>
      </c>
      <c r="J77" s="173">
        <f>INDEX(Input!$C$62:$AM$74,MATCH($A77,Input!$A$62:$A$74,0),MATCH(J$61,Input!$C$61:$AM$61,0))</f>
        <v>0</v>
      </c>
      <c r="K77" s="31" t="str">
        <f>IF(VLOOKUP($A77,Input!$A$62:$B$74,2,FALSE)="Percentage",L$70,IF(VLOOKUP($A77,Input!$A$62:$B$74,2,FALSE)="Fixed","Fixed",(K$70)))</f>
        <v>Fixed</v>
      </c>
      <c r="L77" s="25">
        <f t="shared" si="39"/>
        <v>0</v>
      </c>
      <c r="N77" s="173">
        <f>INDEX(Input!$C$62:$AM$74,MATCH($A77,Input!$A$62:$A$74,0),MATCH(N$61,Input!$C$61:$AM$61,0))</f>
        <v>0</v>
      </c>
      <c r="O77" s="31" t="str">
        <f>IF(VLOOKUP($A77,Input!$A$62:$B$74,2,FALSE)="Percentage",P$70,IF(VLOOKUP($A77,Input!$A$62:$B$74,2,FALSE)="Fixed","Fixed",(O$70)))</f>
        <v>Fixed</v>
      </c>
      <c r="P77" s="25">
        <f t="shared" si="40"/>
        <v>0</v>
      </c>
      <c r="R77" s="173">
        <f>INDEX(Input!$C$62:$AM$74,MATCH($A77,Input!$A$62:$A$74,0),MATCH(R$61,Input!$C$61:$AM$61,0))</f>
        <v>0</v>
      </c>
      <c r="S77" s="31" t="str">
        <f>IF(VLOOKUP($A77,Input!$A$62:$B$74,2,FALSE)="Percentage",T$70,IF(VLOOKUP($A77,Input!$A$62:$B$74,2,FALSE)="Fixed","Fixed",(S$70)))</f>
        <v>Fixed</v>
      </c>
      <c r="T77" s="25">
        <f t="shared" si="41"/>
        <v>0</v>
      </c>
      <c r="V77" s="173">
        <f>INDEX(Input!$C$62:$AM$74,MATCH($A77,Input!$A$62:$A$74,0),MATCH(V$61,Input!$C$61:$AM$61,0))</f>
        <v>0</v>
      </c>
      <c r="W77" s="31" t="str">
        <f>IF(VLOOKUP($A77,Input!$A$62:$B$74,2,FALSE)="Percentage",X$70,IF(VLOOKUP($A77,Input!$A$62:$B$74,2,FALSE)="Fixed","Fixed",(W$70)))</f>
        <v>Fixed</v>
      </c>
      <c r="X77" s="25">
        <f t="shared" si="42"/>
        <v>0</v>
      </c>
      <c r="Z77" s="173">
        <f>INDEX(Input!$C$62:$AM$74,MATCH($A77,Input!$A$62:$A$74,0),MATCH(Z$61,Input!$C$61:$AM$61,0))</f>
        <v>0</v>
      </c>
      <c r="AA77" s="31" t="str">
        <f>IF(VLOOKUP($A77,Input!$A$62:$B$74,2,FALSE)="Percentage",AB$70,IF(VLOOKUP($A77,Input!$A$62:$B$74,2,FALSE)="Fixed","Fixed",(AA$70)))</f>
        <v>Fixed</v>
      </c>
      <c r="AB77" s="25">
        <f t="shared" si="43"/>
        <v>0</v>
      </c>
      <c r="AD77" s="173">
        <f>INDEX(Input!$C$62:$AM$74,MATCH($A77,Input!$A$62:$A$74,0),MATCH(AD$61,Input!$C$61:$AM$61,0))</f>
        <v>0</v>
      </c>
      <c r="AE77" s="31" t="str">
        <f>IF(VLOOKUP($A77,Input!$A$62:$B$74,2,FALSE)="Percentage",AF$70,IF(VLOOKUP($A77,Input!$A$62:$B$74,2,FALSE)="Fixed","Fixed",(AE$70)))</f>
        <v>Fixed</v>
      </c>
      <c r="AF77" s="25">
        <f t="shared" si="44"/>
        <v>0</v>
      </c>
      <c r="AH77" s="173">
        <f>INDEX(Input!$C$62:$AM$74,MATCH($A77,Input!$A$62:$A$74,0),MATCH(AH$61,Input!$C$61:$AM$61,0))</f>
        <v>0</v>
      </c>
      <c r="AI77" s="31" t="str">
        <f>IF(VLOOKUP($A77,Input!$A$62:$B$74,2,FALSE)="Percentage",AJ$70,IF(VLOOKUP($A77,Input!$A$62:$B$74,2,FALSE)="Fixed","Fixed",(AI$70)))</f>
        <v>Fixed</v>
      </c>
      <c r="AJ77" s="25">
        <f t="shared" si="45"/>
        <v>0</v>
      </c>
      <c r="AL77" s="173">
        <f>INDEX(Input!$C$62:$AM$74,MATCH($A77,Input!$A$62:$A$74,0),MATCH(AL$61,Input!$C$61:$AM$61,0))</f>
        <v>0</v>
      </c>
      <c r="AM77" s="31" t="str">
        <f>IF(VLOOKUP($A77,Input!$A$62:$B$74,2,FALSE)="Percentage",AN$70,IF(VLOOKUP($A77,Input!$A$62:$B$74,2,FALSE)="Fixed","Fixed",(AM$70)))</f>
        <v>Fixed</v>
      </c>
      <c r="AN77" s="25">
        <f t="shared" si="46"/>
        <v>0</v>
      </c>
      <c r="AP77" s="173">
        <f>INDEX(Input!$C$62:$AM$74,MATCH($A77,Input!$A$62:$A$74,0),MATCH(AP$61,Input!$C$61:$AM$61,0))</f>
        <v>0</v>
      </c>
      <c r="AQ77" s="31" t="str">
        <f>IF(VLOOKUP($A77,Input!$A$62:$B$74,2,FALSE)="Percentage",AR$70,IF(VLOOKUP($A77,Input!$A$62:$B$74,2,FALSE)="Fixed","Fixed",(AQ$70)))</f>
        <v>Fixed</v>
      </c>
      <c r="AR77" s="25">
        <f t="shared" si="47"/>
        <v>0</v>
      </c>
      <c r="AS77" s="30"/>
      <c r="AT77" s="173">
        <f>INDEX(Input!$C$62:$AM$74,MATCH($A77,Input!$A$62:$A$74,0),MATCH(AT$61,Input!$C$61:$AM$61,0))</f>
        <v>0</v>
      </c>
      <c r="AU77" s="31" t="str">
        <f>IF(VLOOKUP($A77,Input!$A$62:$B$74,2,FALSE)="Percentage",AV$70,IF(VLOOKUP($A77,Input!$A$62:$B$74,2,FALSE)="Fixed","Fixed",(AU$70)))</f>
        <v>Fixed</v>
      </c>
      <c r="AV77" s="25">
        <f t="shared" si="48"/>
        <v>0</v>
      </c>
    </row>
    <row r="78" spans="1:48" x14ac:dyDescent="0.55000000000000004">
      <c r="A78" t="str">
        <f t="shared" si="36"/>
        <v>Interim Memo Account Surcharge</v>
      </c>
      <c r="B78" s="173">
        <f>INDEX(Input!$C$62:$AM$74,MATCH($A78,Input!$A$62:$A$74,0),MATCH(B$61,Input!$C$61:$AM$61,0))</f>
        <v>0.44080000000000003</v>
      </c>
      <c r="C78" s="31">
        <f>IF(VLOOKUP($A78,Input!$A$62:$B$74,2,FALSE)="Percentage",D$70,IF(VLOOKUP($A78,Input!$A$62:$B$74,2,FALSE)="Fixed","Fixed",(C$70)))</f>
        <v>6</v>
      </c>
      <c r="D78" s="25">
        <f t="shared" si="37"/>
        <v>2.64</v>
      </c>
      <c r="F78" s="173">
        <f>INDEX(Input!$C$62:$AM$74,MATCH($A78,Input!$A$62:$A$74,0),MATCH(F$61,Input!$C$61:$AM$61,0))</f>
        <v>0.44080000000000003</v>
      </c>
      <c r="G78" s="31">
        <f>IF(VLOOKUP($A78,Input!$A$62:$B$74,2,FALSE)="Percentage",H$70,IF(VLOOKUP($A78,Input!$A$62:$B$74,2,FALSE)="Fixed","Fixed",(G$70)))</f>
        <v>6</v>
      </c>
      <c r="H78" s="25">
        <f t="shared" si="38"/>
        <v>2.64</v>
      </c>
      <c r="J78" s="173">
        <f>INDEX(Input!$C$62:$AM$74,MATCH($A78,Input!$A$62:$A$74,0),MATCH(J$61,Input!$C$61:$AM$61,0))</f>
        <v>0.44080000000000003</v>
      </c>
      <c r="K78" s="31">
        <f>IF(VLOOKUP($A78,Input!$A$62:$B$74,2,FALSE)="Percentage",L$70,IF(VLOOKUP($A78,Input!$A$62:$B$74,2,FALSE)="Fixed","Fixed",(K$70)))</f>
        <v>6</v>
      </c>
      <c r="L78" s="25">
        <f t="shared" si="39"/>
        <v>2.64</v>
      </c>
      <c r="N78" s="173">
        <f>INDEX(Input!$C$62:$AM$74,MATCH($A78,Input!$A$62:$A$74,0),MATCH(N$61,Input!$C$61:$AM$61,0))</f>
        <v>0.44080000000000003</v>
      </c>
      <c r="O78" s="31">
        <f>IF(VLOOKUP($A78,Input!$A$62:$B$74,2,FALSE)="Percentage",P$70,IF(VLOOKUP($A78,Input!$A$62:$B$74,2,FALSE)="Fixed","Fixed",(O$70)))</f>
        <v>6</v>
      </c>
      <c r="P78" s="25">
        <f t="shared" si="40"/>
        <v>2.64</v>
      </c>
      <c r="R78" s="173">
        <f>INDEX(Input!$C$62:$AM$74,MATCH($A78,Input!$A$62:$A$74,0),MATCH(R$61,Input!$C$61:$AM$61,0))</f>
        <v>0.44080000000000003</v>
      </c>
      <c r="S78" s="31">
        <f>IF(VLOOKUP($A78,Input!$A$62:$B$74,2,FALSE)="Percentage",T$70,IF(VLOOKUP($A78,Input!$A$62:$B$74,2,FALSE)="Fixed","Fixed",(S$70)))</f>
        <v>6</v>
      </c>
      <c r="T78" s="25">
        <f t="shared" si="41"/>
        <v>2.64</v>
      </c>
      <c r="V78" s="173">
        <f>INDEX(Input!$C$62:$AM$74,MATCH($A78,Input!$A$62:$A$74,0),MATCH(V$61,Input!$C$61:$AM$61,0))</f>
        <v>0.44080000000000003</v>
      </c>
      <c r="W78" s="31">
        <f>IF(VLOOKUP($A78,Input!$A$62:$B$74,2,FALSE)="Percentage",X$70,IF(VLOOKUP($A78,Input!$A$62:$B$74,2,FALSE)="Fixed","Fixed",(W$70)))</f>
        <v>6</v>
      </c>
      <c r="X78" s="25">
        <f t="shared" si="42"/>
        <v>2.64</v>
      </c>
      <c r="Z78" s="173">
        <f>INDEX(Input!$C$62:$AM$74,MATCH($A78,Input!$A$62:$A$74,0),MATCH(Z$61,Input!$C$61:$AM$61,0))</f>
        <v>0.44080000000000003</v>
      </c>
      <c r="AA78" s="31">
        <f>IF(VLOOKUP($A78,Input!$A$62:$B$74,2,FALSE)="Percentage",AB$70,IF(VLOOKUP($A78,Input!$A$62:$B$74,2,FALSE)="Fixed","Fixed",(AA$70)))</f>
        <v>6</v>
      </c>
      <c r="AB78" s="25">
        <f t="shared" si="43"/>
        <v>2.64</v>
      </c>
      <c r="AD78" s="173">
        <f>INDEX(Input!$C$62:$AM$74,MATCH($A78,Input!$A$62:$A$74,0),MATCH(AD$61,Input!$C$61:$AM$61,0))</f>
        <v>0.44080000000000003</v>
      </c>
      <c r="AE78" s="31">
        <f>IF(VLOOKUP($A78,Input!$A$62:$B$74,2,FALSE)="Percentage",AF$70,IF(VLOOKUP($A78,Input!$A$62:$B$74,2,FALSE)="Fixed","Fixed",(AE$70)))</f>
        <v>6</v>
      </c>
      <c r="AF78" s="25">
        <f t="shared" si="44"/>
        <v>2.64</v>
      </c>
      <c r="AH78" s="173">
        <f>INDEX(Input!$C$62:$AM$74,MATCH($A78,Input!$A$62:$A$74,0),MATCH(AH$61,Input!$C$61:$AM$61,0))</f>
        <v>0.44080000000000003</v>
      </c>
      <c r="AI78" s="31">
        <f>IF(VLOOKUP($A78,Input!$A$62:$B$74,2,FALSE)="Percentage",AJ$70,IF(VLOOKUP($A78,Input!$A$62:$B$74,2,FALSE)="Fixed","Fixed",(AI$70)))</f>
        <v>6</v>
      </c>
      <c r="AJ78" s="25">
        <f t="shared" si="45"/>
        <v>2.64</v>
      </c>
      <c r="AL78" s="173">
        <f>INDEX(Input!$C$62:$AM$74,MATCH($A78,Input!$A$62:$A$74,0),MATCH(AL$61,Input!$C$61:$AM$61,0))</f>
        <v>0.44080000000000003</v>
      </c>
      <c r="AM78" s="31">
        <f>IF(VLOOKUP($A78,Input!$A$62:$B$74,2,FALSE)="Percentage",AN$70,IF(VLOOKUP($A78,Input!$A$62:$B$74,2,FALSE)="Fixed","Fixed",(AM$70)))</f>
        <v>6</v>
      </c>
      <c r="AN78" s="25">
        <f t="shared" si="46"/>
        <v>2.64</v>
      </c>
      <c r="AP78" s="173">
        <f>INDEX(Input!$C$62:$AM$74,MATCH($A78,Input!$A$62:$A$74,0),MATCH(AP$61,Input!$C$61:$AM$61,0))</f>
        <v>0.44080000000000003</v>
      </c>
      <c r="AQ78" s="31">
        <f>IF(VLOOKUP($A78,Input!$A$62:$B$74,2,FALSE)="Percentage",AR$70,IF(VLOOKUP($A78,Input!$A$62:$B$74,2,FALSE)="Fixed","Fixed",(AQ$70)))</f>
        <v>6</v>
      </c>
      <c r="AR78" s="25">
        <f t="shared" si="47"/>
        <v>2.64</v>
      </c>
      <c r="AS78" s="30"/>
      <c r="AT78" s="173">
        <f>INDEX(Input!$C$62:$AM$74,MATCH($A78,Input!$A$62:$A$74,0),MATCH(AT$61,Input!$C$61:$AM$61,0))</f>
        <v>0.44080000000000003</v>
      </c>
      <c r="AU78" s="31">
        <f>IF(VLOOKUP($A78,Input!$A$62:$B$74,2,FALSE)="Percentage",AV$70,IF(VLOOKUP($A78,Input!$A$62:$B$74,2,FALSE)="Fixed","Fixed",(AU$70)))</f>
        <v>6</v>
      </c>
      <c r="AV78" s="25">
        <f t="shared" si="48"/>
        <v>2.64</v>
      </c>
    </row>
    <row r="79" spans="1:48" x14ac:dyDescent="0.55000000000000004">
      <c r="A79">
        <f t="shared" si="36"/>
        <v>0</v>
      </c>
      <c r="B79" s="173">
        <f>INDEX(Input!$C$62:$AM$74,MATCH($A79,Input!$A$62:$A$74,0),MATCH(B$61,Input!$C$61:$AM$61,0))</f>
        <v>0</v>
      </c>
      <c r="C79" s="31">
        <f>IF(VLOOKUP($A79,Input!$A$62:$B$74,2,FALSE)="Percentage",D$70,IF(VLOOKUP($A79,Input!$A$62:$B$74,2,FALSE)="Fixed","Fixed",(C$70)))</f>
        <v>6</v>
      </c>
      <c r="D79" s="25">
        <f t="shared" si="37"/>
        <v>0</v>
      </c>
      <c r="F79" s="173">
        <f>INDEX(Input!$C$62:$AM$74,MATCH($A79,Input!$A$62:$A$74,0),MATCH(F$61,Input!$C$61:$AM$61,0))</f>
        <v>0</v>
      </c>
      <c r="G79" s="31">
        <f>IF(VLOOKUP($A79,Input!$A$62:$B$74,2,FALSE)="Percentage",H$70,IF(VLOOKUP($A79,Input!$A$62:$B$74,2,FALSE)="Fixed","Fixed",(G$70)))</f>
        <v>6</v>
      </c>
      <c r="H79" s="25">
        <f t="shared" si="38"/>
        <v>0</v>
      </c>
      <c r="J79" s="173">
        <f>INDEX(Input!$C$62:$AM$74,MATCH($A79,Input!$A$62:$A$74,0),MATCH(J$61,Input!$C$61:$AM$61,0))</f>
        <v>0</v>
      </c>
      <c r="K79" s="31">
        <f>IF(VLOOKUP($A79,Input!$A$62:$B$74,2,FALSE)="Percentage",L$70,IF(VLOOKUP($A79,Input!$A$62:$B$74,2,FALSE)="Fixed","Fixed",(K$70)))</f>
        <v>6</v>
      </c>
      <c r="L79" s="25">
        <f t="shared" si="39"/>
        <v>0</v>
      </c>
      <c r="N79" s="173">
        <f>INDEX(Input!$C$62:$AM$74,MATCH($A79,Input!$A$62:$A$74,0),MATCH(N$61,Input!$C$61:$AM$61,0))</f>
        <v>0</v>
      </c>
      <c r="O79" s="31">
        <f>IF(VLOOKUP($A79,Input!$A$62:$B$74,2,FALSE)="Percentage",P$70,IF(VLOOKUP($A79,Input!$A$62:$B$74,2,FALSE)="Fixed","Fixed",(O$70)))</f>
        <v>6</v>
      </c>
      <c r="P79" s="25">
        <f t="shared" si="40"/>
        <v>0</v>
      </c>
      <c r="R79" s="173">
        <f>INDEX(Input!$C$62:$AM$74,MATCH($A79,Input!$A$62:$A$74,0),MATCH(R$61,Input!$C$61:$AM$61,0))</f>
        <v>0</v>
      </c>
      <c r="S79" s="31">
        <f>IF(VLOOKUP($A79,Input!$A$62:$B$74,2,FALSE)="Percentage",T$70,IF(VLOOKUP($A79,Input!$A$62:$B$74,2,FALSE)="Fixed","Fixed",(S$70)))</f>
        <v>6</v>
      </c>
      <c r="T79" s="25">
        <f t="shared" si="41"/>
        <v>0</v>
      </c>
      <c r="V79" s="173">
        <f>INDEX(Input!$C$62:$AM$74,MATCH($A79,Input!$A$62:$A$74,0),MATCH(V$61,Input!$C$61:$AM$61,0))</f>
        <v>0</v>
      </c>
      <c r="W79" s="31">
        <f>IF(VLOOKUP($A79,Input!$A$62:$B$74,2,FALSE)="Percentage",X$70,IF(VLOOKUP($A79,Input!$A$62:$B$74,2,FALSE)="Fixed","Fixed",(W$70)))</f>
        <v>6</v>
      </c>
      <c r="X79" s="25">
        <f t="shared" si="42"/>
        <v>0</v>
      </c>
      <c r="Z79" s="173">
        <f>INDEX(Input!$C$62:$AM$74,MATCH($A79,Input!$A$62:$A$74,0),MATCH(Z$61,Input!$C$61:$AM$61,0))</f>
        <v>0</v>
      </c>
      <c r="AA79" s="31">
        <f>IF(VLOOKUP($A79,Input!$A$62:$B$74,2,FALSE)="Percentage",AB$70,IF(VLOOKUP($A79,Input!$A$62:$B$74,2,FALSE)="Fixed","Fixed",(AA$70)))</f>
        <v>6</v>
      </c>
      <c r="AB79" s="25">
        <f t="shared" si="43"/>
        <v>0</v>
      </c>
      <c r="AD79" s="173">
        <f>INDEX(Input!$C$62:$AM$74,MATCH($A79,Input!$A$62:$A$74,0),MATCH(AD$61,Input!$C$61:$AM$61,0))</f>
        <v>0</v>
      </c>
      <c r="AE79" s="31">
        <f>IF(VLOOKUP($A79,Input!$A$62:$B$74,2,FALSE)="Percentage",AF$70,IF(VLOOKUP($A79,Input!$A$62:$B$74,2,FALSE)="Fixed","Fixed",(AE$70)))</f>
        <v>6</v>
      </c>
      <c r="AF79" s="25">
        <f t="shared" si="44"/>
        <v>0</v>
      </c>
      <c r="AH79" s="173">
        <f>INDEX(Input!$C$62:$AM$74,MATCH($A79,Input!$A$62:$A$74,0),MATCH(AH$61,Input!$C$61:$AM$61,0))</f>
        <v>0</v>
      </c>
      <c r="AI79" s="31">
        <f>IF(VLOOKUP($A79,Input!$A$62:$B$74,2,FALSE)="Percentage",AJ$70,IF(VLOOKUP($A79,Input!$A$62:$B$74,2,FALSE)="Fixed","Fixed",(AI$70)))</f>
        <v>6</v>
      </c>
      <c r="AJ79" s="25">
        <f t="shared" si="45"/>
        <v>0</v>
      </c>
      <c r="AL79" s="173">
        <f>INDEX(Input!$C$62:$AM$74,MATCH($A79,Input!$A$62:$A$74,0),MATCH(AL$61,Input!$C$61:$AM$61,0))</f>
        <v>0</v>
      </c>
      <c r="AM79" s="31">
        <f>IF(VLOOKUP($A79,Input!$A$62:$B$74,2,FALSE)="Percentage",AN$70,IF(VLOOKUP($A79,Input!$A$62:$B$74,2,FALSE)="Fixed","Fixed",(AM$70)))</f>
        <v>6</v>
      </c>
      <c r="AN79" s="25">
        <f t="shared" si="46"/>
        <v>0</v>
      </c>
      <c r="AP79" s="173">
        <f>INDEX(Input!$C$62:$AM$74,MATCH($A79,Input!$A$62:$A$74,0),MATCH(AP$61,Input!$C$61:$AM$61,0))</f>
        <v>0</v>
      </c>
      <c r="AQ79" s="31">
        <f>IF(VLOOKUP($A79,Input!$A$62:$B$74,2,FALSE)="Percentage",AR$70,IF(VLOOKUP($A79,Input!$A$62:$B$74,2,FALSE)="Fixed","Fixed",(AQ$70)))</f>
        <v>6</v>
      </c>
      <c r="AR79" s="25">
        <f t="shared" si="47"/>
        <v>0</v>
      </c>
      <c r="AS79" s="30"/>
      <c r="AT79" s="173">
        <f>INDEX(Input!$C$62:$AM$74,MATCH($A79,Input!$A$62:$A$74,0),MATCH(AT$61,Input!$C$61:$AM$61,0))</f>
        <v>0</v>
      </c>
      <c r="AU79" s="31">
        <f>IF(VLOOKUP($A79,Input!$A$62:$B$74,2,FALSE)="Percentage",AV$70,IF(VLOOKUP($A79,Input!$A$62:$B$74,2,FALSE)="Fixed","Fixed",(AU$70)))</f>
        <v>6</v>
      </c>
      <c r="AV79" s="25">
        <f t="shared" si="48"/>
        <v>0</v>
      </c>
    </row>
    <row r="80" spans="1:48" x14ac:dyDescent="0.55000000000000004">
      <c r="A80">
        <f t="shared" si="36"/>
        <v>0</v>
      </c>
      <c r="B80" s="173">
        <f>INDEX(Input!$C$62:$AM$74,MATCH($A80,Input!$A$62:$A$74,0),MATCH(B$61,Input!$C$61:$AM$61,0))</f>
        <v>0</v>
      </c>
      <c r="C80" s="31">
        <f>IF(VLOOKUP($A80,Input!$A$62:$B$74,2,FALSE)="Percentage",D$70,IF(VLOOKUP($A80,Input!$A$62:$B$74,2,FALSE)="Fixed","Fixed",(C$70)))</f>
        <v>6</v>
      </c>
      <c r="D80" s="25">
        <f t="shared" si="37"/>
        <v>0</v>
      </c>
      <c r="F80" s="173">
        <f>INDEX(Input!$C$62:$AM$74,MATCH($A80,Input!$A$62:$A$74,0),MATCH(F$61,Input!$C$61:$AM$61,0))</f>
        <v>0</v>
      </c>
      <c r="G80" s="31">
        <f>IF(VLOOKUP($A80,Input!$A$62:$B$74,2,FALSE)="Percentage",H$70,IF(VLOOKUP($A80,Input!$A$62:$B$74,2,FALSE)="Fixed","Fixed",(G$70)))</f>
        <v>6</v>
      </c>
      <c r="H80" s="25">
        <f t="shared" si="38"/>
        <v>0</v>
      </c>
      <c r="J80" s="173">
        <f>INDEX(Input!$C$62:$AM$74,MATCH($A80,Input!$A$62:$A$74,0),MATCH(J$61,Input!$C$61:$AM$61,0))</f>
        <v>0</v>
      </c>
      <c r="K80" s="31">
        <f>IF(VLOOKUP($A80,Input!$A$62:$B$74,2,FALSE)="Percentage",L$70,IF(VLOOKUP($A80,Input!$A$62:$B$74,2,FALSE)="Fixed","Fixed",(K$70)))</f>
        <v>6</v>
      </c>
      <c r="L80" s="25">
        <f t="shared" si="39"/>
        <v>0</v>
      </c>
      <c r="N80" s="173">
        <f>INDEX(Input!$C$62:$AM$74,MATCH($A80,Input!$A$62:$A$74,0),MATCH(N$61,Input!$C$61:$AM$61,0))</f>
        <v>0</v>
      </c>
      <c r="O80" s="31">
        <f>IF(VLOOKUP($A80,Input!$A$62:$B$74,2,FALSE)="Percentage",P$70,IF(VLOOKUP($A80,Input!$A$62:$B$74,2,FALSE)="Fixed","Fixed",(O$70)))</f>
        <v>6</v>
      </c>
      <c r="P80" s="25">
        <f t="shared" si="40"/>
        <v>0</v>
      </c>
      <c r="R80" s="173">
        <f>INDEX(Input!$C$62:$AM$74,MATCH($A80,Input!$A$62:$A$74,0),MATCH(R$61,Input!$C$61:$AM$61,0))</f>
        <v>0</v>
      </c>
      <c r="S80" s="31">
        <f>IF(VLOOKUP($A80,Input!$A$62:$B$74,2,FALSE)="Percentage",T$70,IF(VLOOKUP($A80,Input!$A$62:$B$74,2,FALSE)="Fixed","Fixed",(S$70)))</f>
        <v>6</v>
      </c>
      <c r="T80" s="25">
        <f t="shared" si="41"/>
        <v>0</v>
      </c>
      <c r="V80" s="173">
        <f>INDEX(Input!$C$62:$AM$74,MATCH($A80,Input!$A$62:$A$74,0),MATCH(V$61,Input!$C$61:$AM$61,0))</f>
        <v>0</v>
      </c>
      <c r="W80" s="31">
        <f>IF(VLOOKUP($A80,Input!$A$62:$B$74,2,FALSE)="Percentage",X$70,IF(VLOOKUP($A80,Input!$A$62:$B$74,2,FALSE)="Fixed","Fixed",(W$70)))</f>
        <v>6</v>
      </c>
      <c r="X80" s="25">
        <f t="shared" si="42"/>
        <v>0</v>
      </c>
      <c r="Z80" s="173">
        <f>INDEX(Input!$C$62:$AM$74,MATCH($A80,Input!$A$62:$A$74,0),MATCH(Z$61,Input!$C$61:$AM$61,0))</f>
        <v>0</v>
      </c>
      <c r="AA80" s="31">
        <f>IF(VLOOKUP($A80,Input!$A$62:$B$74,2,FALSE)="Percentage",AB$70,IF(VLOOKUP($A80,Input!$A$62:$B$74,2,FALSE)="Fixed","Fixed",(AA$70)))</f>
        <v>6</v>
      </c>
      <c r="AB80" s="25">
        <f t="shared" si="43"/>
        <v>0</v>
      </c>
      <c r="AD80" s="173">
        <f>INDEX(Input!$C$62:$AM$74,MATCH($A80,Input!$A$62:$A$74,0),MATCH(AD$61,Input!$C$61:$AM$61,0))</f>
        <v>0</v>
      </c>
      <c r="AE80" s="31">
        <f>IF(VLOOKUP($A80,Input!$A$62:$B$74,2,FALSE)="Percentage",AF$70,IF(VLOOKUP($A80,Input!$A$62:$B$74,2,FALSE)="Fixed","Fixed",(AE$70)))</f>
        <v>6</v>
      </c>
      <c r="AF80" s="25">
        <f t="shared" si="44"/>
        <v>0</v>
      </c>
      <c r="AH80" s="173">
        <f>INDEX(Input!$C$62:$AM$74,MATCH($A80,Input!$A$62:$A$74,0),MATCH(AH$61,Input!$C$61:$AM$61,0))</f>
        <v>0</v>
      </c>
      <c r="AI80" s="31">
        <f>IF(VLOOKUP($A80,Input!$A$62:$B$74,2,FALSE)="Percentage",AJ$70,IF(VLOOKUP($A80,Input!$A$62:$B$74,2,FALSE)="Fixed","Fixed",(AI$70)))</f>
        <v>6</v>
      </c>
      <c r="AJ80" s="25">
        <f t="shared" si="45"/>
        <v>0</v>
      </c>
      <c r="AL80" s="173">
        <f>INDEX(Input!$C$62:$AM$74,MATCH($A80,Input!$A$62:$A$74,0),MATCH(AL$61,Input!$C$61:$AM$61,0))</f>
        <v>0</v>
      </c>
      <c r="AM80" s="31">
        <f>IF(VLOOKUP($A80,Input!$A$62:$B$74,2,FALSE)="Percentage",AN$70,IF(VLOOKUP($A80,Input!$A$62:$B$74,2,FALSE)="Fixed","Fixed",(AM$70)))</f>
        <v>6</v>
      </c>
      <c r="AN80" s="25">
        <f t="shared" si="46"/>
        <v>0</v>
      </c>
      <c r="AP80" s="173">
        <f>INDEX(Input!$C$62:$AM$74,MATCH($A80,Input!$A$62:$A$74,0),MATCH(AP$61,Input!$C$61:$AM$61,0))</f>
        <v>0</v>
      </c>
      <c r="AQ80" s="31">
        <f>IF(VLOOKUP($A80,Input!$A$62:$B$74,2,FALSE)="Percentage",AR$70,IF(VLOOKUP($A80,Input!$A$62:$B$74,2,FALSE)="Fixed","Fixed",(AQ$70)))</f>
        <v>6</v>
      </c>
      <c r="AR80" s="25">
        <f t="shared" si="47"/>
        <v>0</v>
      </c>
      <c r="AS80" s="30"/>
      <c r="AT80" s="173">
        <f>INDEX(Input!$C$62:$AM$74,MATCH($A80,Input!$A$62:$A$74,0),MATCH(AT$61,Input!$C$61:$AM$61,0))</f>
        <v>0</v>
      </c>
      <c r="AU80" s="31">
        <f>IF(VLOOKUP($A80,Input!$A$62:$B$74,2,FALSE)="Percentage",AV$70,IF(VLOOKUP($A80,Input!$A$62:$B$74,2,FALSE)="Fixed","Fixed",(AU$70)))</f>
        <v>6</v>
      </c>
      <c r="AV80" s="25">
        <f t="shared" si="48"/>
        <v>0</v>
      </c>
    </row>
    <row r="81" spans="1:48" x14ac:dyDescent="0.55000000000000004">
      <c r="A81">
        <f t="shared" si="36"/>
        <v>0</v>
      </c>
      <c r="B81" s="173">
        <f>INDEX(Input!$C$62:$AM$74,MATCH($A81,Input!$A$62:$A$74,0),MATCH(B$61,Input!$C$61:$AM$61,0))</f>
        <v>0</v>
      </c>
      <c r="C81" s="31">
        <f>IF(VLOOKUP($A81,Input!$A$62:$B$74,2,FALSE)="Percentage",D$70,IF(VLOOKUP($A81,Input!$A$62:$B$74,2,FALSE)="Fixed","Fixed",(C$70)))</f>
        <v>6</v>
      </c>
      <c r="D81" s="25">
        <f t="shared" si="37"/>
        <v>0</v>
      </c>
      <c r="F81" s="173">
        <f>INDEX(Input!$C$62:$AM$74,MATCH($A81,Input!$A$62:$A$74,0),MATCH(F$61,Input!$C$61:$AM$61,0))</f>
        <v>0</v>
      </c>
      <c r="G81" s="31">
        <f>IF(VLOOKUP($A81,Input!$A$62:$B$74,2,FALSE)="Percentage",H$70,IF(VLOOKUP($A81,Input!$A$62:$B$74,2,FALSE)="Fixed","Fixed",(G$70)))</f>
        <v>6</v>
      </c>
      <c r="H81" s="25">
        <f t="shared" si="38"/>
        <v>0</v>
      </c>
      <c r="J81" s="173">
        <f>INDEX(Input!$C$62:$AM$74,MATCH($A81,Input!$A$62:$A$74,0),MATCH(J$61,Input!$C$61:$AM$61,0))</f>
        <v>0</v>
      </c>
      <c r="K81" s="31">
        <f>IF(VLOOKUP($A81,Input!$A$62:$B$74,2,FALSE)="Percentage",L$70,IF(VLOOKUP($A81,Input!$A$62:$B$74,2,FALSE)="Fixed","Fixed",(K$70)))</f>
        <v>6</v>
      </c>
      <c r="L81" s="25">
        <f t="shared" si="39"/>
        <v>0</v>
      </c>
      <c r="N81" s="173">
        <f>INDEX(Input!$C$62:$AM$74,MATCH($A81,Input!$A$62:$A$74,0),MATCH(N$61,Input!$C$61:$AM$61,0))</f>
        <v>0</v>
      </c>
      <c r="O81" s="31">
        <f>IF(VLOOKUP($A81,Input!$A$62:$B$74,2,FALSE)="Percentage",P$70,IF(VLOOKUP($A81,Input!$A$62:$B$74,2,FALSE)="Fixed","Fixed",(O$70)))</f>
        <v>6</v>
      </c>
      <c r="P81" s="25">
        <f t="shared" si="40"/>
        <v>0</v>
      </c>
      <c r="R81" s="173">
        <f>INDEX(Input!$C$62:$AM$74,MATCH($A81,Input!$A$62:$A$74,0),MATCH(R$61,Input!$C$61:$AM$61,0))</f>
        <v>0</v>
      </c>
      <c r="S81" s="31">
        <f>IF(VLOOKUP($A81,Input!$A$62:$B$74,2,FALSE)="Percentage",T$70,IF(VLOOKUP($A81,Input!$A$62:$B$74,2,FALSE)="Fixed","Fixed",(S$70)))</f>
        <v>6</v>
      </c>
      <c r="T81" s="25">
        <f t="shared" si="41"/>
        <v>0</v>
      </c>
      <c r="V81" s="173">
        <f>INDEX(Input!$C$62:$AM$74,MATCH($A81,Input!$A$62:$A$74,0),MATCH(V$61,Input!$C$61:$AM$61,0))</f>
        <v>0</v>
      </c>
      <c r="W81" s="31">
        <f>IF(VLOOKUP($A81,Input!$A$62:$B$74,2,FALSE)="Percentage",X$70,IF(VLOOKUP($A81,Input!$A$62:$B$74,2,FALSE)="Fixed","Fixed",(W$70)))</f>
        <v>6</v>
      </c>
      <c r="X81" s="25">
        <f t="shared" si="42"/>
        <v>0</v>
      </c>
      <c r="Z81" s="173">
        <f>INDEX(Input!$C$62:$AM$74,MATCH($A81,Input!$A$62:$A$74,0),MATCH(Z$61,Input!$C$61:$AM$61,0))</f>
        <v>0</v>
      </c>
      <c r="AA81" s="31">
        <f>IF(VLOOKUP($A81,Input!$A$62:$B$74,2,FALSE)="Percentage",AB$70,IF(VLOOKUP($A81,Input!$A$62:$B$74,2,FALSE)="Fixed","Fixed",(AA$70)))</f>
        <v>6</v>
      </c>
      <c r="AB81" s="25">
        <f t="shared" si="43"/>
        <v>0</v>
      </c>
      <c r="AD81" s="173">
        <f>INDEX(Input!$C$62:$AM$74,MATCH($A81,Input!$A$62:$A$74,0),MATCH(AD$61,Input!$C$61:$AM$61,0))</f>
        <v>0</v>
      </c>
      <c r="AE81" s="31">
        <f>IF(VLOOKUP($A81,Input!$A$62:$B$74,2,FALSE)="Percentage",AF$70,IF(VLOOKUP($A81,Input!$A$62:$B$74,2,FALSE)="Fixed","Fixed",(AE$70)))</f>
        <v>6</v>
      </c>
      <c r="AF81" s="25">
        <f t="shared" si="44"/>
        <v>0</v>
      </c>
      <c r="AH81" s="173">
        <f>INDEX(Input!$C$62:$AM$74,MATCH($A81,Input!$A$62:$A$74,0),MATCH(AH$61,Input!$C$61:$AM$61,0))</f>
        <v>0</v>
      </c>
      <c r="AI81" s="31">
        <f>IF(VLOOKUP($A81,Input!$A$62:$B$74,2,FALSE)="Percentage",AJ$70,IF(VLOOKUP($A81,Input!$A$62:$B$74,2,FALSE)="Fixed","Fixed",(AI$70)))</f>
        <v>6</v>
      </c>
      <c r="AJ81" s="25">
        <f t="shared" si="45"/>
        <v>0</v>
      </c>
      <c r="AL81" s="173">
        <f>INDEX(Input!$C$62:$AM$74,MATCH($A81,Input!$A$62:$A$74,0),MATCH(AL$61,Input!$C$61:$AM$61,0))</f>
        <v>0</v>
      </c>
      <c r="AM81" s="31">
        <f>IF(VLOOKUP($A81,Input!$A$62:$B$74,2,FALSE)="Percentage",AN$70,IF(VLOOKUP($A81,Input!$A$62:$B$74,2,FALSE)="Fixed","Fixed",(AM$70)))</f>
        <v>6</v>
      </c>
      <c r="AN81" s="25">
        <f t="shared" si="46"/>
        <v>0</v>
      </c>
      <c r="AP81" s="173">
        <f>INDEX(Input!$C$62:$AM$74,MATCH($A81,Input!$A$62:$A$74,0),MATCH(AP$61,Input!$C$61:$AM$61,0))</f>
        <v>0</v>
      </c>
      <c r="AQ81" s="31">
        <f>IF(VLOOKUP($A81,Input!$A$62:$B$74,2,FALSE)="Percentage",AR$70,IF(VLOOKUP($A81,Input!$A$62:$B$74,2,FALSE)="Fixed","Fixed",(AQ$70)))</f>
        <v>6</v>
      </c>
      <c r="AR81" s="25">
        <f t="shared" si="47"/>
        <v>0</v>
      </c>
      <c r="AS81" s="30"/>
      <c r="AT81" s="173">
        <f>INDEX(Input!$C$62:$AM$74,MATCH($A81,Input!$A$62:$A$74,0),MATCH(AT$61,Input!$C$61:$AM$61,0))</f>
        <v>0</v>
      </c>
      <c r="AU81" s="31">
        <f>IF(VLOOKUP($A81,Input!$A$62:$B$74,2,FALSE)="Percentage",AV$70,IF(VLOOKUP($A81,Input!$A$62:$B$74,2,FALSE)="Fixed","Fixed",(AU$70)))</f>
        <v>6</v>
      </c>
      <c r="AV81" s="25">
        <f t="shared" si="48"/>
        <v>0</v>
      </c>
    </row>
    <row r="82" spans="1:48" x14ac:dyDescent="0.55000000000000004">
      <c r="A82">
        <f t="shared" si="36"/>
        <v>0</v>
      </c>
      <c r="B82" s="173">
        <f>INDEX(Input!$C$62:$AM$74,MATCH($A82,Input!$A$62:$A$74,0),MATCH(B$61,Input!$C$61:$AM$61,0))</f>
        <v>0</v>
      </c>
      <c r="C82" s="31">
        <f>IF(VLOOKUP($A82,Input!$A$62:$B$74,2,FALSE)="Percentage",D$70,IF(VLOOKUP($A82,Input!$A$62:$B$74,2,FALSE)="Fixed","Fixed",(C$70)))</f>
        <v>6</v>
      </c>
      <c r="D82" s="25">
        <f t="shared" si="37"/>
        <v>0</v>
      </c>
      <c r="F82" s="173">
        <f>INDEX(Input!$C$62:$AM$74,MATCH($A82,Input!$A$62:$A$74,0),MATCH(F$61,Input!$C$61:$AM$61,0))</f>
        <v>0</v>
      </c>
      <c r="G82" s="31">
        <f>IF(VLOOKUP($A82,Input!$A$62:$B$74,2,FALSE)="Percentage",H$70,IF(VLOOKUP($A82,Input!$A$62:$B$74,2,FALSE)="Fixed","Fixed",(G$70)))</f>
        <v>6</v>
      </c>
      <c r="H82" s="25">
        <f t="shared" si="38"/>
        <v>0</v>
      </c>
      <c r="J82" s="173">
        <f>INDEX(Input!$C$62:$AM$74,MATCH($A82,Input!$A$62:$A$74,0),MATCH(J$61,Input!$C$61:$AM$61,0))</f>
        <v>0</v>
      </c>
      <c r="K82" s="31">
        <f>IF(VLOOKUP($A82,Input!$A$62:$B$74,2,FALSE)="Percentage",L$70,IF(VLOOKUP($A82,Input!$A$62:$B$74,2,FALSE)="Fixed","Fixed",(K$70)))</f>
        <v>6</v>
      </c>
      <c r="L82" s="25">
        <f t="shared" si="39"/>
        <v>0</v>
      </c>
      <c r="N82" s="173">
        <f>INDEX(Input!$C$62:$AM$74,MATCH($A82,Input!$A$62:$A$74,0),MATCH(N$61,Input!$C$61:$AM$61,0))</f>
        <v>0</v>
      </c>
      <c r="O82" s="31">
        <f>IF(VLOOKUP($A82,Input!$A$62:$B$74,2,FALSE)="Percentage",P$70,IF(VLOOKUP($A82,Input!$A$62:$B$74,2,FALSE)="Fixed","Fixed",(O$70)))</f>
        <v>6</v>
      </c>
      <c r="P82" s="25">
        <f t="shared" si="40"/>
        <v>0</v>
      </c>
      <c r="R82" s="173">
        <f>INDEX(Input!$C$62:$AM$74,MATCH($A82,Input!$A$62:$A$74,0),MATCH(R$61,Input!$C$61:$AM$61,0))</f>
        <v>0</v>
      </c>
      <c r="S82" s="31">
        <f>IF(VLOOKUP($A82,Input!$A$62:$B$74,2,FALSE)="Percentage",T$70,IF(VLOOKUP($A82,Input!$A$62:$B$74,2,FALSE)="Fixed","Fixed",(S$70)))</f>
        <v>6</v>
      </c>
      <c r="T82" s="25">
        <f t="shared" si="41"/>
        <v>0</v>
      </c>
      <c r="V82" s="173">
        <f>INDEX(Input!$C$62:$AM$74,MATCH($A82,Input!$A$62:$A$74,0),MATCH(V$61,Input!$C$61:$AM$61,0))</f>
        <v>0</v>
      </c>
      <c r="W82" s="31">
        <f>IF(VLOOKUP($A82,Input!$A$62:$B$74,2,FALSE)="Percentage",X$70,IF(VLOOKUP($A82,Input!$A$62:$B$74,2,FALSE)="Fixed","Fixed",(W$70)))</f>
        <v>6</v>
      </c>
      <c r="X82" s="25">
        <f t="shared" si="42"/>
        <v>0</v>
      </c>
      <c r="Z82" s="173">
        <f>INDEX(Input!$C$62:$AM$74,MATCH($A82,Input!$A$62:$A$74,0),MATCH(Z$61,Input!$C$61:$AM$61,0))</f>
        <v>0</v>
      </c>
      <c r="AA82" s="31">
        <f>IF(VLOOKUP($A82,Input!$A$62:$B$74,2,FALSE)="Percentage",AB$70,IF(VLOOKUP($A82,Input!$A$62:$B$74,2,FALSE)="Fixed","Fixed",(AA$70)))</f>
        <v>6</v>
      </c>
      <c r="AB82" s="25">
        <f t="shared" si="43"/>
        <v>0</v>
      </c>
      <c r="AD82" s="173">
        <f>INDEX(Input!$C$62:$AM$74,MATCH($A82,Input!$A$62:$A$74,0),MATCH(AD$61,Input!$C$61:$AM$61,0))</f>
        <v>0</v>
      </c>
      <c r="AE82" s="31">
        <f>IF(VLOOKUP($A82,Input!$A$62:$B$74,2,FALSE)="Percentage",AF$70,IF(VLOOKUP($A82,Input!$A$62:$B$74,2,FALSE)="Fixed","Fixed",(AE$70)))</f>
        <v>6</v>
      </c>
      <c r="AF82" s="25">
        <f t="shared" si="44"/>
        <v>0</v>
      </c>
      <c r="AH82" s="173">
        <f>INDEX(Input!$C$62:$AM$74,MATCH($A82,Input!$A$62:$A$74,0),MATCH(AH$61,Input!$C$61:$AM$61,0))</f>
        <v>0</v>
      </c>
      <c r="AI82" s="31">
        <f>IF(VLOOKUP($A82,Input!$A$62:$B$74,2,FALSE)="Percentage",AJ$70,IF(VLOOKUP($A82,Input!$A$62:$B$74,2,FALSE)="Fixed","Fixed",(AI$70)))</f>
        <v>6</v>
      </c>
      <c r="AJ82" s="25">
        <f t="shared" si="45"/>
        <v>0</v>
      </c>
      <c r="AL82" s="173">
        <f>INDEX(Input!$C$62:$AM$74,MATCH($A82,Input!$A$62:$A$74,0),MATCH(AL$61,Input!$C$61:$AM$61,0))</f>
        <v>0</v>
      </c>
      <c r="AM82" s="31">
        <f>IF(VLOOKUP($A82,Input!$A$62:$B$74,2,FALSE)="Percentage",AN$70,IF(VLOOKUP($A82,Input!$A$62:$B$74,2,FALSE)="Fixed","Fixed",(AM$70)))</f>
        <v>6</v>
      </c>
      <c r="AN82" s="25">
        <f t="shared" si="46"/>
        <v>0</v>
      </c>
      <c r="AP82" s="173">
        <f>INDEX(Input!$C$62:$AM$74,MATCH($A82,Input!$A$62:$A$74,0),MATCH(AP$61,Input!$C$61:$AM$61,0))</f>
        <v>0</v>
      </c>
      <c r="AQ82" s="31">
        <f>IF(VLOOKUP($A82,Input!$A$62:$B$74,2,FALSE)="Percentage",AR$70,IF(VLOOKUP($A82,Input!$A$62:$B$74,2,FALSE)="Fixed","Fixed",(AQ$70)))</f>
        <v>6</v>
      </c>
      <c r="AR82" s="25">
        <f t="shared" si="47"/>
        <v>0</v>
      </c>
      <c r="AS82" s="30"/>
      <c r="AT82" s="173">
        <f>INDEX(Input!$C$62:$AM$74,MATCH($A82,Input!$A$62:$A$74,0),MATCH(AT$61,Input!$C$61:$AM$61,0))</f>
        <v>0</v>
      </c>
      <c r="AU82" s="31">
        <f>IF(VLOOKUP($A82,Input!$A$62:$B$74,2,FALSE)="Percentage",AV$70,IF(VLOOKUP($A82,Input!$A$62:$B$74,2,FALSE)="Fixed","Fixed",(AU$70)))</f>
        <v>6</v>
      </c>
      <c r="AV82" s="25">
        <f t="shared" si="48"/>
        <v>0</v>
      </c>
    </row>
    <row r="83" spans="1:48" x14ac:dyDescent="0.55000000000000004">
      <c r="A83">
        <f t="shared" si="36"/>
        <v>0</v>
      </c>
      <c r="B83" s="173">
        <f>INDEX(Input!$C$62:$AM$74,MATCH($A83,Input!$A$62:$A$74,0),MATCH(B$61,Input!$C$61:$AM$61,0))</f>
        <v>0</v>
      </c>
      <c r="C83" s="31">
        <f>IF(VLOOKUP($A83,Input!$A$62:$B$74,2,FALSE)="Percentage",D$70,IF(VLOOKUP($A83,Input!$A$62:$B$74,2,FALSE)="Fixed","Fixed",(C$70)))</f>
        <v>6</v>
      </c>
      <c r="D83" s="25">
        <f t="shared" si="37"/>
        <v>0</v>
      </c>
      <c r="F83" s="173">
        <f>INDEX(Input!$C$62:$AM$74,MATCH($A83,Input!$A$62:$A$74,0),MATCH(F$61,Input!$C$61:$AM$61,0))</f>
        <v>0</v>
      </c>
      <c r="G83" s="31">
        <f>IF(VLOOKUP($A83,Input!$A$62:$B$74,2,FALSE)="Percentage",H$70,IF(VLOOKUP($A83,Input!$A$62:$B$74,2,FALSE)="Fixed","Fixed",(G$70)))</f>
        <v>6</v>
      </c>
      <c r="H83" s="25">
        <f t="shared" si="38"/>
        <v>0</v>
      </c>
      <c r="J83" s="173">
        <f>INDEX(Input!$C$62:$AM$74,MATCH($A83,Input!$A$62:$A$74,0),MATCH(J$61,Input!$C$61:$AM$61,0))</f>
        <v>0</v>
      </c>
      <c r="K83" s="31">
        <f>IF(VLOOKUP($A83,Input!$A$62:$B$74,2,FALSE)="Percentage",L$70,IF(VLOOKUP($A83,Input!$A$62:$B$74,2,FALSE)="Fixed","Fixed",(K$70)))</f>
        <v>6</v>
      </c>
      <c r="L83" s="25">
        <f t="shared" si="39"/>
        <v>0</v>
      </c>
      <c r="N83" s="173">
        <f>INDEX(Input!$C$62:$AM$74,MATCH($A83,Input!$A$62:$A$74,0),MATCH(N$61,Input!$C$61:$AM$61,0))</f>
        <v>0</v>
      </c>
      <c r="O83" s="31">
        <f>IF(VLOOKUP($A83,Input!$A$62:$B$74,2,FALSE)="Percentage",P$70,IF(VLOOKUP($A83,Input!$A$62:$B$74,2,FALSE)="Fixed","Fixed",(O$70)))</f>
        <v>6</v>
      </c>
      <c r="P83" s="25">
        <f t="shared" si="40"/>
        <v>0</v>
      </c>
      <c r="R83" s="173">
        <f>INDEX(Input!$C$62:$AM$74,MATCH($A83,Input!$A$62:$A$74,0),MATCH(R$61,Input!$C$61:$AM$61,0))</f>
        <v>0</v>
      </c>
      <c r="S83" s="31">
        <f>IF(VLOOKUP($A83,Input!$A$62:$B$74,2,FALSE)="Percentage",T$70,IF(VLOOKUP($A83,Input!$A$62:$B$74,2,FALSE)="Fixed","Fixed",(S$70)))</f>
        <v>6</v>
      </c>
      <c r="T83" s="25">
        <f t="shared" si="41"/>
        <v>0</v>
      </c>
      <c r="V83" s="173">
        <f>INDEX(Input!$C$62:$AM$74,MATCH($A83,Input!$A$62:$A$74,0),MATCH(V$61,Input!$C$61:$AM$61,0))</f>
        <v>0</v>
      </c>
      <c r="W83" s="31">
        <f>IF(VLOOKUP($A83,Input!$A$62:$B$74,2,FALSE)="Percentage",X$70,IF(VLOOKUP($A83,Input!$A$62:$B$74,2,FALSE)="Fixed","Fixed",(W$70)))</f>
        <v>6</v>
      </c>
      <c r="X83" s="25">
        <f t="shared" si="42"/>
        <v>0</v>
      </c>
      <c r="Z83" s="173">
        <f>INDEX(Input!$C$62:$AM$74,MATCH($A83,Input!$A$62:$A$74,0),MATCH(Z$61,Input!$C$61:$AM$61,0))</f>
        <v>0</v>
      </c>
      <c r="AA83" s="31">
        <f>IF(VLOOKUP($A83,Input!$A$62:$B$74,2,FALSE)="Percentage",AB$70,IF(VLOOKUP($A83,Input!$A$62:$B$74,2,FALSE)="Fixed","Fixed",(AA$70)))</f>
        <v>6</v>
      </c>
      <c r="AB83" s="25">
        <f t="shared" si="43"/>
        <v>0</v>
      </c>
      <c r="AD83" s="173">
        <f>INDEX(Input!$C$62:$AM$74,MATCH($A83,Input!$A$62:$A$74,0),MATCH(AD$61,Input!$C$61:$AM$61,0))</f>
        <v>0</v>
      </c>
      <c r="AE83" s="31">
        <f>IF(VLOOKUP($A83,Input!$A$62:$B$74,2,FALSE)="Percentage",AF$70,IF(VLOOKUP($A83,Input!$A$62:$B$74,2,FALSE)="Fixed","Fixed",(AE$70)))</f>
        <v>6</v>
      </c>
      <c r="AF83" s="25">
        <f t="shared" si="44"/>
        <v>0</v>
      </c>
      <c r="AH83" s="173">
        <f>INDEX(Input!$C$62:$AM$74,MATCH($A83,Input!$A$62:$A$74,0),MATCH(AH$61,Input!$C$61:$AM$61,0))</f>
        <v>0</v>
      </c>
      <c r="AI83" s="31">
        <f>IF(VLOOKUP($A83,Input!$A$62:$B$74,2,FALSE)="Percentage",AJ$70,IF(VLOOKUP($A83,Input!$A$62:$B$74,2,FALSE)="Fixed","Fixed",(AI$70)))</f>
        <v>6</v>
      </c>
      <c r="AJ83" s="25">
        <f t="shared" si="45"/>
        <v>0</v>
      </c>
      <c r="AL83" s="173">
        <f>INDEX(Input!$C$62:$AM$74,MATCH($A83,Input!$A$62:$A$74,0),MATCH(AL$61,Input!$C$61:$AM$61,0))</f>
        <v>0</v>
      </c>
      <c r="AM83" s="31">
        <f>IF(VLOOKUP($A83,Input!$A$62:$B$74,2,FALSE)="Percentage",AN$70,IF(VLOOKUP($A83,Input!$A$62:$B$74,2,FALSE)="Fixed","Fixed",(AM$70)))</f>
        <v>6</v>
      </c>
      <c r="AN83" s="25">
        <f t="shared" si="46"/>
        <v>0</v>
      </c>
      <c r="AP83" s="173">
        <f>INDEX(Input!$C$62:$AM$74,MATCH($A83,Input!$A$62:$A$74,0),MATCH(AP$61,Input!$C$61:$AM$61,0))</f>
        <v>0</v>
      </c>
      <c r="AQ83" s="31">
        <f>IF(VLOOKUP($A83,Input!$A$62:$B$74,2,FALSE)="Percentage",AR$70,IF(VLOOKUP($A83,Input!$A$62:$B$74,2,FALSE)="Fixed","Fixed",(AQ$70)))</f>
        <v>6</v>
      </c>
      <c r="AR83" s="25">
        <f t="shared" si="47"/>
        <v>0</v>
      </c>
      <c r="AS83" s="30"/>
      <c r="AT83" s="173">
        <f>INDEX(Input!$C$62:$AM$74,MATCH($A83,Input!$A$62:$A$74,0),MATCH(AT$61,Input!$C$61:$AM$61,0))</f>
        <v>0</v>
      </c>
      <c r="AU83" s="31">
        <f>IF(VLOOKUP($A83,Input!$A$62:$B$74,2,FALSE)="Percentage",AV$70,IF(VLOOKUP($A83,Input!$A$62:$B$74,2,FALSE)="Fixed","Fixed",(AU$70)))</f>
        <v>6</v>
      </c>
      <c r="AV83" s="25">
        <f t="shared" si="48"/>
        <v>0</v>
      </c>
    </row>
    <row r="84" spans="1:48" x14ac:dyDescent="0.55000000000000004">
      <c r="A84">
        <f t="shared" si="36"/>
        <v>0</v>
      </c>
      <c r="B84" s="173">
        <f>INDEX(Input!$C$62:$AM$74,MATCH($A84,Input!$A$62:$A$74,0),MATCH(B$61,Input!$C$61:$AM$61,0))</f>
        <v>0</v>
      </c>
      <c r="C84" s="31">
        <f>IF(VLOOKUP($A84,Input!$A$62:$B$74,2,FALSE)="Percentage",D$70,IF(VLOOKUP($A84,Input!$A$62:$B$74,2,FALSE)="Fixed","Fixed",(C$70)))</f>
        <v>6</v>
      </c>
      <c r="D84" s="25">
        <f t="shared" si="37"/>
        <v>0</v>
      </c>
      <c r="F84" s="173">
        <f>INDEX(Input!$C$62:$AM$74,MATCH($A84,Input!$A$62:$A$74,0),MATCH(F$61,Input!$C$61:$AM$61,0))</f>
        <v>0</v>
      </c>
      <c r="G84" s="31">
        <f>IF(VLOOKUP($A84,Input!$A$62:$B$74,2,FALSE)="Percentage",H$70,IF(VLOOKUP($A84,Input!$A$62:$B$74,2,FALSE)="Fixed","Fixed",(G$70)))</f>
        <v>6</v>
      </c>
      <c r="H84" s="25">
        <f t="shared" si="38"/>
        <v>0</v>
      </c>
      <c r="J84" s="173">
        <f>INDEX(Input!$C$62:$AM$74,MATCH($A84,Input!$A$62:$A$74,0),MATCH(J$61,Input!$C$61:$AM$61,0))</f>
        <v>0</v>
      </c>
      <c r="K84" s="31">
        <f>IF(VLOOKUP($A84,Input!$A$62:$B$74,2,FALSE)="Percentage",L$70,IF(VLOOKUP($A84,Input!$A$62:$B$74,2,FALSE)="Fixed","Fixed",(K$70)))</f>
        <v>6</v>
      </c>
      <c r="L84" s="25">
        <f t="shared" si="39"/>
        <v>0</v>
      </c>
      <c r="N84" s="173">
        <f>INDEX(Input!$C$62:$AM$74,MATCH($A84,Input!$A$62:$A$74,0),MATCH(N$61,Input!$C$61:$AM$61,0))</f>
        <v>0</v>
      </c>
      <c r="O84" s="31">
        <f>IF(VLOOKUP($A84,Input!$A$62:$B$74,2,FALSE)="Percentage",P$70,IF(VLOOKUP($A84,Input!$A$62:$B$74,2,FALSE)="Fixed","Fixed",(O$70)))</f>
        <v>6</v>
      </c>
      <c r="P84" s="25">
        <f t="shared" si="40"/>
        <v>0</v>
      </c>
      <c r="R84" s="173">
        <f>INDEX(Input!$C$62:$AM$74,MATCH($A84,Input!$A$62:$A$74,0),MATCH(R$61,Input!$C$61:$AM$61,0))</f>
        <v>0</v>
      </c>
      <c r="S84" s="31">
        <f>IF(VLOOKUP($A84,Input!$A$62:$B$74,2,FALSE)="Percentage",T$70,IF(VLOOKUP($A84,Input!$A$62:$B$74,2,FALSE)="Fixed","Fixed",(S$70)))</f>
        <v>6</v>
      </c>
      <c r="T84" s="25">
        <f t="shared" si="41"/>
        <v>0</v>
      </c>
      <c r="V84" s="173">
        <f>INDEX(Input!$C$62:$AM$74,MATCH($A84,Input!$A$62:$A$74,0),MATCH(V$61,Input!$C$61:$AM$61,0))</f>
        <v>0</v>
      </c>
      <c r="W84" s="31">
        <f>IF(VLOOKUP($A84,Input!$A$62:$B$74,2,FALSE)="Percentage",X$70,IF(VLOOKUP($A84,Input!$A$62:$B$74,2,FALSE)="Fixed","Fixed",(W$70)))</f>
        <v>6</v>
      </c>
      <c r="X84" s="25">
        <f t="shared" si="42"/>
        <v>0</v>
      </c>
      <c r="Z84" s="173">
        <f>INDEX(Input!$C$62:$AM$74,MATCH($A84,Input!$A$62:$A$74,0),MATCH(Z$61,Input!$C$61:$AM$61,0))</f>
        <v>0</v>
      </c>
      <c r="AA84" s="31">
        <f>IF(VLOOKUP($A84,Input!$A$62:$B$74,2,FALSE)="Percentage",AB$70,IF(VLOOKUP($A84,Input!$A$62:$B$74,2,FALSE)="Fixed","Fixed",(AA$70)))</f>
        <v>6</v>
      </c>
      <c r="AB84" s="25">
        <f t="shared" si="43"/>
        <v>0</v>
      </c>
      <c r="AD84" s="173">
        <f>INDEX(Input!$C$62:$AM$74,MATCH($A84,Input!$A$62:$A$74,0),MATCH(AD$61,Input!$C$61:$AM$61,0))</f>
        <v>0</v>
      </c>
      <c r="AE84" s="31">
        <f>IF(VLOOKUP($A84,Input!$A$62:$B$74,2,FALSE)="Percentage",AF$70,IF(VLOOKUP($A84,Input!$A$62:$B$74,2,FALSE)="Fixed","Fixed",(AE$70)))</f>
        <v>6</v>
      </c>
      <c r="AF84" s="25">
        <f t="shared" si="44"/>
        <v>0</v>
      </c>
      <c r="AH84" s="173">
        <f>INDEX(Input!$C$62:$AM$74,MATCH($A84,Input!$A$62:$A$74,0),MATCH(AH$61,Input!$C$61:$AM$61,0))</f>
        <v>0</v>
      </c>
      <c r="AI84" s="31">
        <f>IF(VLOOKUP($A84,Input!$A$62:$B$74,2,FALSE)="Percentage",AJ$70,IF(VLOOKUP($A84,Input!$A$62:$B$74,2,FALSE)="Fixed","Fixed",(AI$70)))</f>
        <v>6</v>
      </c>
      <c r="AJ84" s="25">
        <f t="shared" si="45"/>
        <v>0</v>
      </c>
      <c r="AL84" s="173">
        <f>INDEX(Input!$C$62:$AM$74,MATCH($A84,Input!$A$62:$A$74,0),MATCH(AL$61,Input!$C$61:$AM$61,0))</f>
        <v>0</v>
      </c>
      <c r="AM84" s="31">
        <f>IF(VLOOKUP($A84,Input!$A$62:$B$74,2,FALSE)="Percentage",AN$70,IF(VLOOKUP($A84,Input!$A$62:$B$74,2,FALSE)="Fixed","Fixed",(AM$70)))</f>
        <v>6</v>
      </c>
      <c r="AN84" s="25">
        <f t="shared" si="46"/>
        <v>0</v>
      </c>
      <c r="AP84" s="173">
        <f>INDEX(Input!$C$62:$AM$74,MATCH($A84,Input!$A$62:$A$74,0),MATCH(AP$61,Input!$C$61:$AM$61,0))</f>
        <v>0</v>
      </c>
      <c r="AQ84" s="31">
        <f>IF(VLOOKUP($A84,Input!$A$62:$B$74,2,FALSE)="Percentage",AR$70,IF(VLOOKUP($A84,Input!$A$62:$B$74,2,FALSE)="Fixed","Fixed",(AQ$70)))</f>
        <v>6</v>
      </c>
      <c r="AR84" s="25">
        <f t="shared" si="47"/>
        <v>0</v>
      </c>
      <c r="AS84" s="30"/>
      <c r="AT84" s="173">
        <f>INDEX(Input!$C$62:$AM$74,MATCH($A84,Input!$A$62:$A$74,0),MATCH(AT$61,Input!$C$61:$AM$61,0))</f>
        <v>0</v>
      </c>
      <c r="AU84" s="31">
        <f>IF(VLOOKUP($A84,Input!$A$62:$B$74,2,FALSE)="Percentage",AV$70,IF(VLOOKUP($A84,Input!$A$62:$B$74,2,FALSE)="Fixed","Fixed",(AU$70)))</f>
        <v>6</v>
      </c>
      <c r="AV84" s="25">
        <f t="shared" si="48"/>
        <v>0</v>
      </c>
    </row>
    <row r="85" spans="1:48" x14ac:dyDescent="0.55000000000000004">
      <c r="A85">
        <f t="shared" si="36"/>
        <v>0</v>
      </c>
      <c r="B85" s="173">
        <f>INDEX(Input!$C$62:$AM$74,MATCH($A85,Input!$A$62:$A$74,0),MATCH(B$61,Input!$C$61:$AM$61,0))</f>
        <v>0</v>
      </c>
      <c r="C85" s="31">
        <f>IF(VLOOKUP($A85,Input!$A$62:$B$74,2,FALSE)="Percentage",D$70,IF(VLOOKUP($A85,Input!$A$62:$B$74,2,FALSE)="Fixed","Fixed",(C$70)))</f>
        <v>6</v>
      </c>
      <c r="D85" s="25">
        <f t="shared" si="37"/>
        <v>0</v>
      </c>
      <c r="F85" s="173">
        <f>INDEX(Input!$C$62:$AM$74,MATCH($A85,Input!$A$62:$A$74,0),MATCH(F$61,Input!$C$61:$AM$61,0))</f>
        <v>0</v>
      </c>
      <c r="G85" s="31">
        <f>IF(VLOOKUP($A85,Input!$A$62:$B$74,2,FALSE)="Percentage",H$70,IF(VLOOKUP($A85,Input!$A$62:$B$74,2,FALSE)="Fixed","Fixed",(G$70)))</f>
        <v>6</v>
      </c>
      <c r="H85" s="25">
        <f t="shared" si="38"/>
        <v>0</v>
      </c>
      <c r="J85" s="173">
        <f>INDEX(Input!$C$62:$AM$74,MATCH($A85,Input!$A$62:$A$74,0),MATCH(J$61,Input!$C$61:$AM$61,0))</f>
        <v>0</v>
      </c>
      <c r="K85" s="31">
        <f>IF(VLOOKUP($A85,Input!$A$62:$B$74,2,FALSE)="Percentage",L$70,IF(VLOOKUP($A85,Input!$A$62:$B$74,2,FALSE)="Fixed","Fixed",(K$70)))</f>
        <v>6</v>
      </c>
      <c r="L85" s="25">
        <f t="shared" si="39"/>
        <v>0</v>
      </c>
      <c r="N85" s="173">
        <f>INDEX(Input!$C$62:$AM$74,MATCH($A85,Input!$A$62:$A$74,0),MATCH(N$61,Input!$C$61:$AM$61,0))</f>
        <v>0</v>
      </c>
      <c r="O85" s="31">
        <f>IF(VLOOKUP($A85,Input!$A$62:$B$74,2,FALSE)="Percentage",P$70,IF(VLOOKUP($A85,Input!$A$62:$B$74,2,FALSE)="Fixed","Fixed",(O$70)))</f>
        <v>6</v>
      </c>
      <c r="P85" s="25">
        <f t="shared" si="40"/>
        <v>0</v>
      </c>
      <c r="R85" s="173">
        <f>INDEX(Input!$C$62:$AM$74,MATCH($A85,Input!$A$62:$A$74,0),MATCH(R$61,Input!$C$61:$AM$61,0))</f>
        <v>0</v>
      </c>
      <c r="S85" s="31">
        <f>IF(VLOOKUP($A85,Input!$A$62:$B$74,2,FALSE)="Percentage",T$70,IF(VLOOKUP($A85,Input!$A$62:$B$74,2,FALSE)="Fixed","Fixed",(S$70)))</f>
        <v>6</v>
      </c>
      <c r="T85" s="25">
        <f t="shared" si="41"/>
        <v>0</v>
      </c>
      <c r="V85" s="173">
        <f>INDEX(Input!$C$62:$AM$74,MATCH($A85,Input!$A$62:$A$74,0),MATCH(V$61,Input!$C$61:$AM$61,0))</f>
        <v>0</v>
      </c>
      <c r="W85" s="31">
        <f>IF(VLOOKUP($A85,Input!$A$62:$B$74,2,FALSE)="Percentage",X$70,IF(VLOOKUP($A85,Input!$A$62:$B$74,2,FALSE)="Fixed","Fixed",(W$70)))</f>
        <v>6</v>
      </c>
      <c r="X85" s="25">
        <f t="shared" si="42"/>
        <v>0</v>
      </c>
      <c r="Z85" s="173">
        <f>INDEX(Input!$C$62:$AM$74,MATCH($A85,Input!$A$62:$A$74,0),MATCH(Z$61,Input!$C$61:$AM$61,0))</f>
        <v>0</v>
      </c>
      <c r="AA85" s="31">
        <f>IF(VLOOKUP($A85,Input!$A$62:$B$74,2,FALSE)="Percentage",AB$70,IF(VLOOKUP($A85,Input!$A$62:$B$74,2,FALSE)="Fixed","Fixed",(AA$70)))</f>
        <v>6</v>
      </c>
      <c r="AB85" s="25">
        <f t="shared" si="43"/>
        <v>0</v>
      </c>
      <c r="AD85" s="173">
        <f>INDEX(Input!$C$62:$AM$74,MATCH($A85,Input!$A$62:$A$74,0),MATCH(AD$61,Input!$C$61:$AM$61,0))</f>
        <v>0</v>
      </c>
      <c r="AE85" s="31">
        <f>IF(VLOOKUP($A85,Input!$A$62:$B$74,2,FALSE)="Percentage",AF$70,IF(VLOOKUP($A85,Input!$A$62:$B$74,2,FALSE)="Fixed","Fixed",(AE$70)))</f>
        <v>6</v>
      </c>
      <c r="AF85" s="25">
        <f t="shared" si="44"/>
        <v>0</v>
      </c>
      <c r="AH85" s="173">
        <f>INDEX(Input!$C$62:$AM$74,MATCH($A85,Input!$A$62:$A$74,0),MATCH(AH$61,Input!$C$61:$AM$61,0))</f>
        <v>0</v>
      </c>
      <c r="AI85" s="31">
        <f>IF(VLOOKUP($A85,Input!$A$62:$B$74,2,FALSE)="Percentage",AJ$70,IF(VLOOKUP($A85,Input!$A$62:$B$74,2,FALSE)="Fixed","Fixed",(AI$70)))</f>
        <v>6</v>
      </c>
      <c r="AJ85" s="25">
        <f t="shared" si="45"/>
        <v>0</v>
      </c>
      <c r="AL85" s="173">
        <f>INDEX(Input!$C$62:$AM$74,MATCH($A85,Input!$A$62:$A$74,0),MATCH(AL$61,Input!$C$61:$AM$61,0))</f>
        <v>0</v>
      </c>
      <c r="AM85" s="31">
        <f>IF(VLOOKUP($A85,Input!$A$62:$B$74,2,FALSE)="Percentage",AN$70,IF(VLOOKUP($A85,Input!$A$62:$B$74,2,FALSE)="Fixed","Fixed",(AM$70)))</f>
        <v>6</v>
      </c>
      <c r="AN85" s="25">
        <f t="shared" si="46"/>
        <v>0</v>
      </c>
      <c r="AP85" s="173">
        <f>INDEX(Input!$C$62:$AM$74,MATCH($A85,Input!$A$62:$A$74,0),MATCH(AP$61,Input!$C$61:$AM$61,0))</f>
        <v>0</v>
      </c>
      <c r="AQ85" s="31">
        <f>IF(VLOOKUP($A85,Input!$A$62:$B$74,2,FALSE)="Percentage",AR$70,IF(VLOOKUP($A85,Input!$A$62:$B$74,2,FALSE)="Fixed","Fixed",(AQ$70)))</f>
        <v>6</v>
      </c>
      <c r="AR85" s="25">
        <f t="shared" si="47"/>
        <v>0</v>
      </c>
      <c r="AS85" s="30"/>
      <c r="AT85" s="173">
        <f>INDEX(Input!$C$62:$AM$74,MATCH($A85,Input!$A$62:$A$74,0),MATCH(AT$61,Input!$C$61:$AM$61,0))</f>
        <v>0</v>
      </c>
      <c r="AU85" s="31">
        <f>IF(VLOOKUP($A85,Input!$A$62:$B$74,2,FALSE)="Percentage",AV$70,IF(VLOOKUP($A85,Input!$A$62:$B$74,2,FALSE)="Fixed","Fixed",(AU$70)))</f>
        <v>6</v>
      </c>
      <c r="AV85" s="25">
        <f t="shared" si="48"/>
        <v>0</v>
      </c>
    </row>
    <row r="86" spans="1:48" x14ac:dyDescent="0.55000000000000004">
      <c r="A86" t="s">
        <v>39</v>
      </c>
      <c r="B86" s="16"/>
      <c r="C86" s="17"/>
      <c r="D86" s="26">
        <f>SUM(D73:D85)</f>
        <v>-8.9399999999999977</v>
      </c>
      <c r="F86" s="16"/>
      <c r="G86" s="17"/>
      <c r="H86" s="26">
        <f>SUM(H73:H85)</f>
        <v>-8.9399999999999977</v>
      </c>
      <c r="J86" s="16"/>
      <c r="K86" s="17"/>
      <c r="L86" s="26">
        <f>SUM(L73:L85)</f>
        <v>-8.9399999999999977</v>
      </c>
      <c r="N86" s="16"/>
      <c r="O86" s="17"/>
      <c r="P86" s="26">
        <f>SUM(P73:P85)</f>
        <v>-8.9399999999999977</v>
      </c>
      <c r="R86" s="16"/>
      <c r="S86" s="17"/>
      <c r="T86" s="26">
        <f>SUM(T73:T85)</f>
        <v>-8.9399999999999977</v>
      </c>
      <c r="V86" s="16"/>
      <c r="W86" s="17"/>
      <c r="X86" s="26">
        <f>SUM(X73:X85)</f>
        <v>-8.9399999999999977</v>
      </c>
      <c r="Z86" s="16"/>
      <c r="AA86" s="17"/>
      <c r="AB86" s="26">
        <f>SUM(AB73:AB85)</f>
        <v>-8.9399999999999977</v>
      </c>
      <c r="AD86" s="16"/>
      <c r="AE86" s="17"/>
      <c r="AF86" s="26">
        <f>SUM(AF73:AF85)</f>
        <v>-8.9399999999999977</v>
      </c>
      <c r="AH86" s="16"/>
      <c r="AI86" s="17"/>
      <c r="AJ86" s="26">
        <f>SUM(AJ73:AJ85)</f>
        <v>-8.9399999999999977</v>
      </c>
      <c r="AL86" s="16"/>
      <c r="AM86" s="17"/>
      <c r="AN86" s="26">
        <f>SUM(AN73:AN85)</f>
        <v>-8.9399999999999977</v>
      </c>
      <c r="AP86" s="16"/>
      <c r="AQ86" s="17"/>
      <c r="AR86" s="26">
        <f>SUM(AR73:AR85)</f>
        <v>-8.9399999999999977</v>
      </c>
      <c r="AS86" s="64"/>
      <c r="AT86" s="16"/>
      <c r="AU86" s="17"/>
      <c r="AV86" s="26">
        <f>SUM(AV73:AV85)</f>
        <v>-8.9399999999999977</v>
      </c>
    </row>
    <row r="87" spans="1:48" x14ac:dyDescent="0.55000000000000004">
      <c r="B87" s="16"/>
      <c r="C87" s="17"/>
      <c r="D87" s="19"/>
      <c r="F87" s="16"/>
      <c r="G87" s="17"/>
      <c r="H87" s="19"/>
      <c r="J87" s="16"/>
      <c r="K87" s="17"/>
      <c r="L87" s="19"/>
      <c r="N87" s="16"/>
      <c r="O87" s="17"/>
      <c r="P87" s="19"/>
      <c r="R87" s="16"/>
      <c r="S87" s="17"/>
      <c r="T87" s="19"/>
      <c r="V87" s="16"/>
      <c r="W87" s="17"/>
      <c r="X87" s="19"/>
      <c r="Z87" s="16"/>
      <c r="AA87" s="17"/>
      <c r="AB87" s="19"/>
      <c r="AD87" s="16"/>
      <c r="AE87" s="17"/>
      <c r="AF87" s="19"/>
      <c r="AH87" s="16"/>
      <c r="AI87" s="17"/>
      <c r="AJ87" s="19"/>
      <c r="AL87" s="16"/>
      <c r="AM87" s="17"/>
      <c r="AN87" s="19"/>
      <c r="AP87" s="16"/>
      <c r="AQ87" s="17"/>
      <c r="AR87" s="19"/>
      <c r="AS87" s="17"/>
      <c r="AT87" s="16"/>
      <c r="AU87" s="17"/>
      <c r="AV87" s="19"/>
    </row>
    <row r="88" spans="1:48" x14ac:dyDescent="0.55000000000000004">
      <c r="A88" s="1" t="s">
        <v>35</v>
      </c>
      <c r="B88" s="20" t="s">
        <v>29</v>
      </c>
      <c r="C88" s="21" t="s">
        <v>45</v>
      </c>
      <c r="D88" s="22" t="s">
        <v>30</v>
      </c>
      <c r="F88" s="20" t="s">
        <v>29</v>
      </c>
      <c r="G88" s="21" t="s">
        <v>45</v>
      </c>
      <c r="H88" s="111" t="s">
        <v>30</v>
      </c>
      <c r="J88" s="20" t="s">
        <v>29</v>
      </c>
      <c r="K88" s="21" t="s">
        <v>45</v>
      </c>
      <c r="L88" s="111" t="s">
        <v>30</v>
      </c>
      <c r="N88" s="20" t="s">
        <v>29</v>
      </c>
      <c r="O88" s="21" t="s">
        <v>45</v>
      </c>
      <c r="P88" s="111" t="s">
        <v>30</v>
      </c>
      <c r="R88" s="20" t="s">
        <v>29</v>
      </c>
      <c r="S88" s="21" t="s">
        <v>45</v>
      </c>
      <c r="T88" s="111" t="s">
        <v>30</v>
      </c>
      <c r="V88" s="20" t="s">
        <v>29</v>
      </c>
      <c r="W88" s="21" t="s">
        <v>45</v>
      </c>
      <c r="X88" s="111" t="s">
        <v>30</v>
      </c>
      <c r="Z88" s="20" t="s">
        <v>29</v>
      </c>
      <c r="AA88" s="21" t="s">
        <v>45</v>
      </c>
      <c r="AB88" s="111" t="s">
        <v>30</v>
      </c>
      <c r="AD88" s="20" t="s">
        <v>29</v>
      </c>
      <c r="AE88" s="21" t="s">
        <v>45</v>
      </c>
      <c r="AF88" s="111" t="s">
        <v>30</v>
      </c>
      <c r="AH88" s="20" t="s">
        <v>29</v>
      </c>
      <c r="AI88" s="21" t="s">
        <v>45</v>
      </c>
      <c r="AJ88" s="111" t="s">
        <v>30</v>
      </c>
      <c r="AL88" s="20" t="s">
        <v>29</v>
      </c>
      <c r="AM88" s="21" t="s">
        <v>45</v>
      </c>
      <c r="AN88" s="111" t="s">
        <v>30</v>
      </c>
      <c r="AP88" s="20" t="s">
        <v>29</v>
      </c>
      <c r="AQ88" s="21" t="s">
        <v>45</v>
      </c>
      <c r="AR88" s="111" t="s">
        <v>30</v>
      </c>
      <c r="AS88" s="170"/>
      <c r="AT88" s="20" t="s">
        <v>29</v>
      </c>
      <c r="AU88" s="21" t="s">
        <v>45</v>
      </c>
      <c r="AV88" s="111" t="s">
        <v>30</v>
      </c>
    </row>
    <row r="89" spans="1:48" x14ac:dyDescent="0.55000000000000004">
      <c r="A89" t="str">
        <f>A41</f>
        <v>CPUC Fee</v>
      </c>
      <c r="B89" s="29">
        <f>INDEX(Input!$C$77:$AL$82,MATCH('Residential Bills_Yr 1_avg'!$A$41,Input!$A$77:$A$82,0),MATCH('Residential Bills_Yr 1_avg'!B61:D61,Input!$C$76:$AL$76,0))</f>
        <v>1.43E-2</v>
      </c>
      <c r="C89" s="30">
        <f>D70+D86</f>
        <v>68.960000000000008</v>
      </c>
      <c r="D89" s="25">
        <f>ROUND(B89*C89,2)</f>
        <v>0.99</v>
      </c>
      <c r="F89" s="29">
        <f>INDEX(Input!$C$77:$AL$82,MATCH('Residential Bills_Yr 1_avg'!$A$41,Input!$A$77:$A$82,0),MATCH('Residential Bills_Yr 1_avg'!F61:H61,Input!$C$76:$AL$76,0))</f>
        <v>1.43E-2</v>
      </c>
      <c r="G89" s="30">
        <f>H70+H86</f>
        <v>68.960000000000008</v>
      </c>
      <c r="H89" s="25">
        <f>ROUND(F89*G89,2)</f>
        <v>0.99</v>
      </c>
      <c r="J89" s="29">
        <f>INDEX(Input!$C$77:$AL$82,MATCH('Residential Bills_Yr 1_avg'!$A$41,Input!$A$77:$A$82,0),MATCH('Residential Bills_Yr 1_avg'!J61:L61,Input!$C$76:$AL$76,0))</f>
        <v>1.43E-2</v>
      </c>
      <c r="K89" s="30">
        <f>L70+L86</f>
        <v>68.960000000000008</v>
      </c>
      <c r="L89" s="25">
        <f>ROUND(J89*K89,2)</f>
        <v>0.99</v>
      </c>
      <c r="N89" s="29">
        <f>INDEX(Input!$C$77:$AL$82,MATCH('Residential Bills_Yr 1_avg'!$A$41,Input!$A$77:$A$82,0),MATCH('Residential Bills_Yr 1_avg'!N61:P61,Input!$C$76:$AL$76,0))</f>
        <v>1.43E-2</v>
      </c>
      <c r="O89" s="30">
        <f>P70+P86</f>
        <v>68.960000000000008</v>
      </c>
      <c r="P89" s="25">
        <f>ROUND(N89*O89,2)</f>
        <v>0.99</v>
      </c>
      <c r="R89" s="29">
        <f>INDEX(Input!$C$77:$AL$82,MATCH('Residential Bills_Yr 1_avg'!$A$41,Input!$A$77:$A$82,0),MATCH('Residential Bills_Yr 1_avg'!R61:T61,Input!$C$76:$AL$76,0))</f>
        <v>1.43E-2</v>
      </c>
      <c r="S89" s="30">
        <f>T70+T86</f>
        <v>68.960000000000008</v>
      </c>
      <c r="T89" s="25">
        <f>ROUND(R89*S89,2)</f>
        <v>0.99</v>
      </c>
      <c r="V89" s="29">
        <f>INDEX(Input!$C$77:$AL$82,MATCH('Residential Bills_Yr 1_avg'!$A$41,Input!$A$77:$A$82,0),MATCH('Residential Bills_Yr 1_avg'!V61:X61,Input!$C$76:$AL$76,0))</f>
        <v>1.43E-2</v>
      </c>
      <c r="W89" s="30">
        <f>X70+X86</f>
        <v>68.960000000000008</v>
      </c>
      <c r="X89" s="25">
        <f>ROUND(V89*W89,2)</f>
        <v>0.99</v>
      </c>
      <c r="Z89" s="29">
        <f>INDEX(Input!$C$77:$AL$82,MATCH('Residential Bills_Yr 1_avg'!$A$41,Input!$A$77:$A$82,0),MATCH('Residential Bills_Yr 1_avg'!Z61:AB61,Input!$C$76:$AL$76,0))</f>
        <v>1.43E-2</v>
      </c>
      <c r="AA89" s="30">
        <f>AB70+AB86</f>
        <v>68.960000000000008</v>
      </c>
      <c r="AB89" s="25">
        <f>ROUND(Z89*AA89,2)</f>
        <v>0.99</v>
      </c>
      <c r="AD89" s="29">
        <f>INDEX(Input!$C$77:$AL$82,MATCH('Residential Bills_Yr 1_avg'!$A$41,Input!$A$77:$A$82,0),MATCH('Residential Bills_Yr 1_avg'!AD61:AF61,Input!$C$76:$AL$76,0))</f>
        <v>1.43E-2</v>
      </c>
      <c r="AE89" s="30">
        <f>AF70+AF86</f>
        <v>68.960000000000008</v>
      </c>
      <c r="AF89" s="25">
        <f>ROUND(AD89*AE89,2)</f>
        <v>0.99</v>
      </c>
      <c r="AH89" s="29">
        <f>INDEX(Input!$C$77:$AL$82,MATCH('Residential Bills_Yr 1_avg'!$A$41,Input!$A$77:$A$82,0),MATCH('Residential Bills_Yr 1_avg'!AH61:AJ61,Input!$C$76:$AL$76,0))</f>
        <v>1.43E-2</v>
      </c>
      <c r="AI89" s="30">
        <f>AJ70+AJ86</f>
        <v>68.960000000000008</v>
      </c>
      <c r="AJ89" s="25">
        <f>ROUND(AH89*AI89,2)</f>
        <v>0.99</v>
      </c>
      <c r="AL89" s="29">
        <f>INDEX(Input!$C$77:$AL$82,MATCH('Residential Bills_Yr 1_avg'!$A$41,Input!$A$77:$A$82,0),MATCH('Residential Bills_Yr 1_avg'!AL61:AN61,Input!$C$76:$AL$76,0))</f>
        <v>1.43E-2</v>
      </c>
      <c r="AM89" s="30">
        <f>AN70+AN86</f>
        <v>68.960000000000008</v>
      </c>
      <c r="AN89" s="25">
        <f>ROUND(AL89*AM89,2)</f>
        <v>0.99</v>
      </c>
      <c r="AP89" s="29">
        <f>INDEX(Input!$C$77:$AL$82,MATCH('Residential Bills_Yr 1_avg'!$A$41,Input!$A$77:$A$82,0),MATCH('Residential Bills_Yr 1_avg'!AP61:AR61,Input!$C$76:$AL$76,0))</f>
        <v>1.43E-2</v>
      </c>
      <c r="AQ89" s="30">
        <f>AR70+AR86</f>
        <v>68.960000000000008</v>
      </c>
      <c r="AR89" s="25">
        <f>ROUND(AP89*AQ89,2)</f>
        <v>0.99</v>
      </c>
      <c r="AS89" s="30"/>
      <c r="AT89" s="29">
        <f>INDEX(Input!$C$77:$AL$82,MATCH('Residential Bills_Yr 1_avg'!$A$41,Input!$A$77:$A$82,0),MATCH('Residential Bills_Yr 1_avg'!AT61:AV61,Input!$C$76:$AL$76,0))</f>
        <v>1.43E-2</v>
      </c>
      <c r="AU89" s="30">
        <f>AV70+AV86</f>
        <v>68.960000000000008</v>
      </c>
      <c r="AV89" s="25">
        <f>ROUND(AT89*AU89,2)</f>
        <v>0.99</v>
      </c>
    </row>
    <row r="90" spans="1:48" ht="14.5" customHeight="1" x14ac:dyDescent="0.55000000000000004">
      <c r="A90" t="str">
        <f>+A42</f>
        <v>CSJ UTT</v>
      </c>
      <c r="B90" s="29">
        <f>INDEX(Input!$C$77:$AL$82,MATCH('Residential Bills_Yr 1_avg'!$A$42,Input!$A$77:$A$82,0),MATCH('Residential Bills_Yr 1_avg'!B61,Input!$C$76:$AL$76,0))</f>
        <v>0.05</v>
      </c>
      <c r="C90" s="30">
        <f>D70+D86+D89</f>
        <v>69.95</v>
      </c>
      <c r="D90" s="25">
        <f>ROUND(B90*C90,2)</f>
        <v>3.5</v>
      </c>
      <c r="F90" s="29">
        <f>INDEX(Input!$C$77:$AL$82,MATCH('Residential Bills_Yr 1_avg'!$A$42,Input!$A$77:$A$82,0),MATCH('Residential Bills_Yr 1_avg'!F61,Input!$C$76:$AL$76,0))</f>
        <v>0.05</v>
      </c>
      <c r="G90" s="30">
        <f>H70+H86+H89</f>
        <v>69.95</v>
      </c>
      <c r="H90" s="25">
        <f>ROUND(F90*G90,2)</f>
        <v>3.5</v>
      </c>
      <c r="J90" s="29">
        <f>INDEX(Input!$C$77:$AL$82,MATCH('Residential Bills_Yr 1_avg'!$A$42,Input!$A$77:$A$82,0),MATCH('Residential Bills_Yr 1_avg'!J61,Input!$C$76:$AL$76,0))</f>
        <v>0.05</v>
      </c>
      <c r="K90" s="30">
        <f>L70+L86+L89</f>
        <v>69.95</v>
      </c>
      <c r="L90" s="25">
        <f>ROUND(J90*K90,2)</f>
        <v>3.5</v>
      </c>
      <c r="N90" s="29">
        <f>INDEX(Input!$C$77:$AL$82,MATCH('Residential Bills_Yr 1_avg'!$A$42,Input!$A$77:$A$82,0),MATCH('Residential Bills_Yr 1_avg'!N61,Input!$C$76:$AL$76,0))</f>
        <v>0.05</v>
      </c>
      <c r="O90" s="30">
        <f>P70+P86+P89</f>
        <v>69.95</v>
      </c>
      <c r="P90" s="25">
        <f>ROUND(N90*O90,2)</f>
        <v>3.5</v>
      </c>
      <c r="R90" s="29">
        <f>INDEX(Input!$C$77:$AL$82,MATCH('Residential Bills_Yr 1_avg'!$A$42,Input!$A$77:$A$82,0),MATCH('Residential Bills_Yr 1_avg'!R61,Input!$C$76:$AL$76,0))</f>
        <v>0.05</v>
      </c>
      <c r="S90" s="30">
        <f>T70+T86+T89</f>
        <v>69.95</v>
      </c>
      <c r="T90" s="25">
        <f>ROUND(R90*S90,2)</f>
        <v>3.5</v>
      </c>
      <c r="V90" s="29">
        <f>INDEX(Input!$C$77:$AL$82,MATCH('Residential Bills_Yr 1_avg'!$A$42,Input!$A$77:$A$82,0),MATCH('Residential Bills_Yr 1_avg'!V61,Input!$C$76:$AL$76,0))</f>
        <v>0.05</v>
      </c>
      <c r="W90" s="30">
        <f>X70+X86+X89</f>
        <v>69.95</v>
      </c>
      <c r="X90" s="25">
        <f>ROUND(V90*W90,2)</f>
        <v>3.5</v>
      </c>
      <c r="Z90" s="29">
        <f>INDEX(Input!$C$77:$AL$82,MATCH('Residential Bills_Yr 1_avg'!$A$42,Input!$A$77:$A$82,0),MATCH('Residential Bills_Yr 1_avg'!Z61,Input!$C$76:$AL$76,0))</f>
        <v>0.05</v>
      </c>
      <c r="AA90" s="30">
        <f>AB70+AB86+AB89</f>
        <v>69.95</v>
      </c>
      <c r="AB90" s="25">
        <f>ROUND(Z90*AA90,2)</f>
        <v>3.5</v>
      </c>
      <c r="AD90" s="29">
        <f>INDEX(Input!$C$77:$AL$82,MATCH('Residential Bills_Yr 1_avg'!$A$42,Input!$A$77:$A$82,0),MATCH('Residential Bills_Yr 1_avg'!AD61,Input!$C$76:$AL$76,0))</f>
        <v>0.05</v>
      </c>
      <c r="AE90" s="30">
        <f>AF70+AF86+AF89</f>
        <v>69.95</v>
      </c>
      <c r="AF90" s="25">
        <f>ROUND(AD90*AE90,2)</f>
        <v>3.5</v>
      </c>
      <c r="AH90" s="29">
        <f>INDEX(Input!$C$77:$AL$82,MATCH('Residential Bills_Yr 1_avg'!$A$42,Input!$A$77:$A$82,0),MATCH('Residential Bills_Yr 1_avg'!AH61,Input!$C$76:$AL$76,0))</f>
        <v>0.05</v>
      </c>
      <c r="AI90" s="30">
        <f>AJ70+AJ86+AJ89</f>
        <v>69.95</v>
      </c>
      <c r="AJ90" s="25">
        <f>ROUND(AH90*AI90,2)</f>
        <v>3.5</v>
      </c>
      <c r="AL90" s="29">
        <f>INDEX(Input!$C$77:$AL$82,MATCH('Residential Bills_Yr 1_avg'!$A$42,Input!$A$77:$A$82,0),MATCH('Residential Bills_Yr 1_avg'!AL61,Input!$C$76:$AL$76,0))</f>
        <v>0.05</v>
      </c>
      <c r="AM90" s="30">
        <f>AN70+AN86+AN89</f>
        <v>69.95</v>
      </c>
      <c r="AN90" s="25">
        <f>ROUND(AL90*AM90,2)</f>
        <v>3.5</v>
      </c>
      <c r="AP90" s="29">
        <f>INDEX(Input!$C$77:$AL$82,MATCH('Residential Bills_Yr 1_avg'!$A$42,Input!$A$77:$A$82,0),MATCH('Residential Bills_Yr 1_avg'!AP61,Input!$C$76:$AL$76,0))</f>
        <v>0.05</v>
      </c>
      <c r="AQ90" s="30">
        <f>AR70+AR86+AR89</f>
        <v>69.95</v>
      </c>
      <c r="AR90" s="25">
        <f>ROUND(AP90*AQ90,2)</f>
        <v>3.5</v>
      </c>
      <c r="AS90" s="17"/>
      <c r="AT90" s="29">
        <f>INDEX(Input!$C$77:$AL$82,MATCH('Residential Bills_Yr 1_avg'!$A$42,Input!$A$77:$A$82,0),MATCH('Residential Bills_Yr 1_avg'!AT61,Input!$C$76:$AL$76,0))</f>
        <v>0.05</v>
      </c>
      <c r="AU90" s="30">
        <f>AV70+AV86+AV89</f>
        <v>69.95</v>
      </c>
      <c r="AV90" s="25">
        <f>ROUND(AT90*AU90,2)</f>
        <v>3.5</v>
      </c>
    </row>
    <row r="91" spans="1:48" ht="14.5" customHeight="1" x14ac:dyDescent="0.55000000000000004">
      <c r="A91">
        <f>+Input!A123</f>
        <v>0</v>
      </c>
      <c r="B91" s="29"/>
      <c r="C91" s="17"/>
      <c r="D91" s="19"/>
      <c r="F91" s="29"/>
      <c r="G91" s="17"/>
      <c r="H91" s="19"/>
      <c r="J91" s="29"/>
      <c r="K91" s="17"/>
      <c r="L91" s="19"/>
      <c r="N91" s="29"/>
      <c r="O91" s="17"/>
      <c r="P91" s="19"/>
      <c r="R91" s="29"/>
      <c r="S91" s="17"/>
      <c r="T91" s="19"/>
      <c r="V91" s="29"/>
      <c r="W91" s="17"/>
      <c r="X91" s="19"/>
      <c r="Z91" s="29"/>
      <c r="AA91" s="17"/>
      <c r="AB91" s="19"/>
      <c r="AD91" s="29"/>
      <c r="AE91" s="17"/>
      <c r="AF91" s="19"/>
      <c r="AH91" s="29"/>
      <c r="AI91" s="17"/>
      <c r="AJ91" s="19"/>
      <c r="AL91" s="29"/>
      <c r="AM91" s="17"/>
      <c r="AN91" s="19"/>
      <c r="AP91" s="29"/>
      <c r="AQ91" s="17"/>
      <c r="AR91" s="19"/>
      <c r="AS91" s="17"/>
      <c r="AT91" s="29"/>
      <c r="AU91" s="17"/>
      <c r="AV91" s="19"/>
    </row>
    <row r="92" spans="1:48" ht="14.5" customHeight="1" x14ac:dyDescent="0.55000000000000004">
      <c r="A92">
        <f>+Input!A124</f>
        <v>0</v>
      </c>
      <c r="B92" s="29"/>
      <c r="C92" s="17"/>
      <c r="D92" s="19"/>
      <c r="F92" s="29"/>
      <c r="G92" s="17"/>
      <c r="H92" s="19"/>
      <c r="J92" s="29"/>
      <c r="K92" s="17"/>
      <c r="L92" s="19"/>
      <c r="N92" s="29"/>
      <c r="O92" s="17"/>
      <c r="P92" s="19"/>
      <c r="R92" s="29"/>
      <c r="S92" s="17"/>
      <c r="T92" s="19"/>
      <c r="V92" s="29"/>
      <c r="W92" s="17"/>
      <c r="X92" s="19"/>
      <c r="Z92" s="29"/>
      <c r="AA92" s="17"/>
      <c r="AB92" s="19"/>
      <c r="AD92" s="29"/>
      <c r="AE92" s="17"/>
      <c r="AF92" s="19"/>
      <c r="AH92" s="29"/>
      <c r="AI92" s="17"/>
      <c r="AJ92" s="19"/>
      <c r="AL92" s="29"/>
      <c r="AM92" s="17"/>
      <c r="AN92" s="19"/>
      <c r="AP92" s="29"/>
      <c r="AQ92" s="17"/>
      <c r="AR92" s="19"/>
      <c r="AS92" s="17"/>
      <c r="AT92" s="29"/>
      <c r="AU92" s="17"/>
      <c r="AV92" s="19"/>
    </row>
    <row r="93" spans="1:48" ht="14.5" customHeight="1" x14ac:dyDescent="0.55000000000000004">
      <c r="A93">
        <f>+Input!A125</f>
        <v>0</v>
      </c>
      <c r="B93" s="29"/>
      <c r="C93" s="17"/>
      <c r="D93" s="19"/>
      <c r="F93" s="29"/>
      <c r="G93" s="17"/>
      <c r="H93" s="19"/>
      <c r="J93" s="29"/>
      <c r="K93" s="17"/>
      <c r="L93" s="19"/>
      <c r="N93" s="29"/>
      <c r="O93" s="17"/>
      <c r="P93" s="19"/>
      <c r="R93" s="29"/>
      <c r="S93" s="17"/>
      <c r="T93" s="19"/>
      <c r="V93" s="29"/>
      <c r="W93" s="17"/>
      <c r="X93" s="19"/>
      <c r="Z93" s="29"/>
      <c r="AA93" s="17"/>
      <c r="AB93" s="19"/>
      <c r="AD93" s="29"/>
      <c r="AE93" s="17"/>
      <c r="AF93" s="19"/>
      <c r="AH93" s="29"/>
      <c r="AI93" s="17"/>
      <c r="AJ93" s="19"/>
      <c r="AL93" s="29"/>
      <c r="AM93" s="17"/>
      <c r="AN93" s="19"/>
      <c r="AP93" s="29"/>
      <c r="AQ93" s="17"/>
      <c r="AR93" s="19"/>
      <c r="AS93" s="17"/>
      <c r="AT93" s="29"/>
      <c r="AU93" s="17"/>
      <c r="AV93" s="19"/>
    </row>
    <row r="94" spans="1:48" ht="14.5" customHeight="1" x14ac:dyDescent="0.55000000000000004">
      <c r="A94">
        <f>+Input!A126</f>
        <v>0</v>
      </c>
      <c r="B94" s="29"/>
      <c r="C94" s="17"/>
      <c r="D94" s="19"/>
      <c r="F94" s="29"/>
      <c r="G94" s="17"/>
      <c r="H94" s="19"/>
      <c r="J94" s="29"/>
      <c r="K94" s="17"/>
      <c r="L94" s="19"/>
      <c r="N94" s="29"/>
      <c r="O94" s="17"/>
      <c r="P94" s="19"/>
      <c r="R94" s="29"/>
      <c r="S94" s="17"/>
      <c r="T94" s="19"/>
      <c r="V94" s="29"/>
      <c r="W94" s="17"/>
      <c r="X94" s="19"/>
      <c r="Z94" s="29"/>
      <c r="AA94" s="17"/>
      <c r="AB94" s="19"/>
      <c r="AD94" s="29"/>
      <c r="AE94" s="17"/>
      <c r="AF94" s="19"/>
      <c r="AH94" s="29"/>
      <c r="AI94" s="17"/>
      <c r="AJ94" s="19"/>
      <c r="AL94" s="29"/>
      <c r="AM94" s="17"/>
      <c r="AN94" s="19"/>
      <c r="AP94" s="29"/>
      <c r="AQ94" s="17"/>
      <c r="AR94" s="19"/>
      <c r="AS94" s="17"/>
      <c r="AT94" s="29"/>
      <c r="AU94" s="17"/>
      <c r="AV94" s="19"/>
    </row>
    <row r="95" spans="1:48" x14ac:dyDescent="0.55000000000000004">
      <c r="A95" t="s">
        <v>39</v>
      </c>
      <c r="B95" s="16"/>
      <c r="C95" s="17"/>
      <c r="D95" s="26">
        <f>SUM(D89:D94)</f>
        <v>4.49</v>
      </c>
      <c r="F95" s="16"/>
      <c r="G95" s="17"/>
      <c r="H95" s="26">
        <f>SUM(H89:H94)</f>
        <v>4.49</v>
      </c>
      <c r="J95" s="16"/>
      <c r="K95" s="17"/>
      <c r="L95" s="26">
        <f>SUM(L89:L94)</f>
        <v>4.49</v>
      </c>
      <c r="N95" s="16"/>
      <c r="O95" s="17"/>
      <c r="P95" s="26">
        <f>SUM(P89:P94)</f>
        <v>4.49</v>
      </c>
      <c r="R95" s="16"/>
      <c r="S95" s="17"/>
      <c r="T95" s="26">
        <f>SUM(T89:T94)</f>
        <v>4.49</v>
      </c>
      <c r="V95" s="16"/>
      <c r="W95" s="17"/>
      <c r="X95" s="26">
        <f>SUM(X89:X94)</f>
        <v>4.49</v>
      </c>
      <c r="Z95" s="16"/>
      <c r="AA95" s="17"/>
      <c r="AB95" s="26">
        <f>SUM(AB89:AB94)</f>
        <v>4.49</v>
      </c>
      <c r="AD95" s="16"/>
      <c r="AE95" s="17"/>
      <c r="AF95" s="26">
        <f>SUM(AF89:AF94)</f>
        <v>4.49</v>
      </c>
      <c r="AH95" s="16"/>
      <c r="AI95" s="17"/>
      <c r="AJ95" s="26">
        <f>SUM(AJ89:AJ94)</f>
        <v>4.49</v>
      </c>
      <c r="AL95" s="16"/>
      <c r="AM95" s="17"/>
      <c r="AN95" s="26">
        <f>SUM(AN89:AN94)</f>
        <v>4.49</v>
      </c>
      <c r="AP95" s="16"/>
      <c r="AQ95" s="17"/>
      <c r="AR95" s="26">
        <f>SUM(AR89:AR94)</f>
        <v>4.49</v>
      </c>
      <c r="AS95" s="17"/>
      <c r="AT95" s="16"/>
      <c r="AU95" s="17"/>
      <c r="AV95" s="26">
        <f>SUM(AV89:AV94)</f>
        <v>4.49</v>
      </c>
    </row>
    <row r="96" spans="1:48" x14ac:dyDescent="0.55000000000000004">
      <c r="B96" s="16"/>
      <c r="C96" s="17"/>
      <c r="D96" s="19"/>
      <c r="F96" s="16"/>
      <c r="G96" s="17"/>
      <c r="H96" s="19"/>
      <c r="J96" s="16"/>
      <c r="K96" s="17"/>
      <c r="L96" s="19"/>
      <c r="N96" s="16"/>
      <c r="O96" s="17"/>
      <c r="P96" s="19"/>
      <c r="R96" s="16"/>
      <c r="S96" s="17"/>
      <c r="T96" s="19"/>
      <c r="V96" s="16"/>
      <c r="W96" s="17"/>
      <c r="X96" s="19"/>
      <c r="Z96" s="16"/>
      <c r="AA96" s="17"/>
      <c r="AB96" s="19"/>
      <c r="AD96" s="16"/>
      <c r="AE96" s="17"/>
      <c r="AF96" s="19"/>
      <c r="AH96" s="16"/>
      <c r="AI96" s="17"/>
      <c r="AJ96" s="19"/>
      <c r="AL96" s="16"/>
      <c r="AM96" s="17"/>
      <c r="AN96" s="19"/>
      <c r="AP96" s="16"/>
      <c r="AQ96" s="17"/>
      <c r="AR96" s="19"/>
      <c r="AS96" s="17"/>
      <c r="AT96" s="16"/>
      <c r="AU96" s="17"/>
      <c r="AV96" s="19"/>
    </row>
    <row r="97" spans="1:48" ht="14.7" thickBot="1" x14ac:dyDescent="0.6">
      <c r="A97" t="s">
        <v>40</v>
      </c>
      <c r="B97" s="27"/>
      <c r="C97" s="28"/>
      <c r="D97" s="32">
        <f>D70+D86+D95</f>
        <v>73.45</v>
      </c>
      <c r="F97" s="27"/>
      <c r="G97" s="28"/>
      <c r="H97" s="32">
        <f>H70+H86+H95</f>
        <v>73.45</v>
      </c>
      <c r="J97" s="27"/>
      <c r="K97" s="28"/>
      <c r="L97" s="32">
        <f>L70+L86+L95</f>
        <v>73.45</v>
      </c>
      <c r="N97" s="27"/>
      <c r="O97" s="28"/>
      <c r="P97" s="32">
        <f>P70+P86+P95</f>
        <v>73.45</v>
      </c>
      <c r="R97" s="27"/>
      <c r="S97" s="28"/>
      <c r="T97" s="32">
        <f>T70+T86+T95</f>
        <v>73.45</v>
      </c>
      <c r="V97" s="27"/>
      <c r="W97" s="28"/>
      <c r="X97" s="32">
        <f>X70+X86+X95</f>
        <v>73.45</v>
      </c>
      <c r="Z97" s="27"/>
      <c r="AA97" s="28"/>
      <c r="AB97" s="32">
        <f>AB70+AB86+AB95</f>
        <v>73.45</v>
      </c>
      <c r="AD97" s="27"/>
      <c r="AE97" s="28"/>
      <c r="AF97" s="32">
        <f>AF70+AF86+AF95</f>
        <v>73.45</v>
      </c>
      <c r="AH97" s="27"/>
      <c r="AI97" s="28"/>
      <c r="AJ97" s="32">
        <f>AJ70+AJ86+AJ95</f>
        <v>73.45</v>
      </c>
      <c r="AL97" s="27"/>
      <c r="AM97" s="28"/>
      <c r="AN97" s="32">
        <f>AN70+AN86+AN95</f>
        <v>73.45</v>
      </c>
      <c r="AP97" s="27"/>
      <c r="AQ97" s="28"/>
      <c r="AR97" s="32">
        <f>AR70+AR86+AR95</f>
        <v>73.45</v>
      </c>
      <c r="AS97" s="176"/>
      <c r="AT97" s="27"/>
      <c r="AU97" s="28"/>
      <c r="AV97" s="32">
        <f>AV70+AV86+AV95</f>
        <v>73.45</v>
      </c>
    </row>
    <row r="99" spans="1:48" x14ac:dyDescent="0.55000000000000004">
      <c r="A99" t="s">
        <v>81</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2A50D96F-4836-4335-9E80-8F43811B75E8}">
            <xm:f>OR(Input!$B62="Fixed",Input!$B62="Volumetric")</xm:f>
            <x14:dxf>
              <numFmt numFmtId="171" formatCode="&quot;$&quot;#,##0.000"/>
            </x14:dxf>
          </x14:cfRule>
          <x14:cfRule type="expression" priority="6" id="{B78AA5DA-FFAD-41D9-BF2E-406C104E0D2B}">
            <xm:f>Input!$B62="Percentage"</xm:f>
            <x14:dxf>
              <numFmt numFmtId="166" formatCode="0.000%"/>
            </x14:dxf>
          </x14:cfRule>
          <xm:sqref>AT73:AT85 B73:B85 F73:F85 J73:J85 N73:N85 R73:R85 V73:V85 Z73:Z85 AD73:AD85 AH73:AH85 AL73:AL85 AP73:AP85</xm:sqref>
        </x14:conditionalFormatting>
        <x14:conditionalFormatting xmlns:xm="http://schemas.microsoft.com/office/excel/2006/main">
          <x14:cfRule type="expression" priority="3" id="{6E940395-B8E0-4B27-868B-7022F3C9D300}">
            <xm:f>OR(Input!$B46="Fixed",Input!$B46="Volumetric")</xm:f>
            <x14:dxf>
              <numFmt numFmtId="171" formatCode="&quot;$&quot;#,##0.000"/>
            </x14:dxf>
          </x14:cfRule>
          <x14:cfRule type="expression" priority="4" id="{34D13C0F-DB13-43C6-AF03-D32E79CFD42E}">
            <xm:f>Input!$B46="Percentage"</xm:f>
            <x14:dxf>
              <numFmt numFmtId="166" formatCode="0.000%"/>
            </x14:dxf>
          </x14:cfRule>
          <xm:sqref>B25:B37 F25:F37 J25:J37 N25:N37 R25:R37 V25:V37 Z25:Z37 AD25:AD37 AH25:AH37 AL25:AL37 AP25:AP37 AT25:AT37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Input!$A$28:$A$42</xm:f>
          </x14:formula1>
          <xm:sqref>B6</xm:sqref>
        </x14:dataValidation>
        <x14:dataValidation type="list" allowBlank="1" showInputMessage="1" showErrorMessage="1">
          <x14:formula1>
            <xm:f>Input!$A$86:$A$92</xm:f>
          </x14:formula1>
          <xm:sqref>B60 B11:B12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V99"/>
  <sheetViews>
    <sheetView zoomScale="115" zoomScaleNormal="115" workbookViewId="0">
      <pane xSplit="1" topLeftCell="AG1" activePane="topRight" state="frozen"/>
      <selection activeCell="A72" activeCellId="1" sqref="L76 A72:XFD72"/>
      <selection pane="topRight" activeCell="A9" sqref="A9"/>
    </sheetView>
  </sheetViews>
  <sheetFormatPr defaultRowHeight="14.4" x14ac:dyDescent="0.55000000000000004"/>
  <cols>
    <col min="1" max="1" width="30.41796875" customWidth="1"/>
    <col min="2" max="2" width="11.15625" customWidth="1"/>
    <col min="3" max="3" width="14.83984375" bestFit="1" customWidth="1"/>
    <col min="4" max="4" width="10.15625" bestFit="1" customWidth="1"/>
    <col min="5" max="5" width="0.83984375" customWidth="1"/>
    <col min="6" max="6" width="10" bestFit="1" customWidth="1"/>
    <col min="7" max="7" width="13.83984375" bestFit="1" customWidth="1"/>
    <col min="8" max="8" width="10.15625" bestFit="1" customWidth="1"/>
    <col min="9" max="9" width="0.83984375" customWidth="1"/>
    <col min="11" max="11" width="13.83984375" bestFit="1" customWidth="1"/>
    <col min="13" max="13" width="0.83984375" customWidth="1"/>
    <col min="14" max="14" width="9.41796875" customWidth="1"/>
    <col min="15" max="15" width="13.83984375" customWidth="1"/>
    <col min="16" max="16" width="9.15625" customWidth="1"/>
    <col min="17" max="17" width="0.83984375" customWidth="1"/>
    <col min="18" max="18" width="9.15625" customWidth="1"/>
    <col min="19" max="19" width="13.83984375" customWidth="1"/>
    <col min="20" max="20" width="9.15625" customWidth="1"/>
    <col min="21" max="21" width="0.83984375" customWidth="1"/>
    <col min="22" max="22" width="9.15625" customWidth="1"/>
    <col min="23" max="23" width="13.83984375" customWidth="1"/>
    <col min="24" max="24" width="9.15625" customWidth="1"/>
    <col min="25" max="25" width="0.83984375" customWidth="1"/>
    <col min="26" max="26" width="9.15625" customWidth="1"/>
    <col min="27" max="27" width="13.83984375" customWidth="1"/>
    <col min="28" max="28" width="9.15625" customWidth="1"/>
    <col min="29" max="29" width="0.83984375" customWidth="1"/>
    <col min="30" max="30" width="9.15625" customWidth="1"/>
    <col min="31" max="31" width="13.83984375" customWidth="1"/>
    <col min="32" max="32" width="9.15625" customWidth="1"/>
    <col min="33" max="33" width="0.83984375" customWidth="1"/>
    <col min="34" max="34" width="9.15625" customWidth="1"/>
    <col min="35" max="35" width="13.83984375" customWidth="1"/>
    <col min="36" max="36" width="9.15625" customWidth="1"/>
    <col min="37" max="37" width="0.83984375" customWidth="1"/>
    <col min="38" max="38" width="9.15625" customWidth="1"/>
    <col min="39" max="39" width="13.83984375" customWidth="1"/>
    <col min="40" max="40" width="9.15625" customWidth="1"/>
    <col min="41" max="41" width="0.83984375" customWidth="1"/>
    <col min="42" max="42" width="9.15625" customWidth="1"/>
    <col min="43" max="43" width="13.83984375" customWidth="1"/>
    <col min="44" max="44" width="9.15625" customWidth="1"/>
    <col min="45" max="45" width="0.83984375" customWidth="1"/>
    <col min="46" max="46" width="9.15625" customWidth="1"/>
    <col min="47" max="47" width="13.83984375" customWidth="1"/>
    <col min="48" max="48" width="9.15625" customWidth="1"/>
  </cols>
  <sheetData>
    <row r="1" spans="1:48" x14ac:dyDescent="0.55000000000000004">
      <c r="A1" s="1" t="s">
        <v>0</v>
      </c>
    </row>
    <row r="2" spans="1:48" x14ac:dyDescent="0.55000000000000004">
      <c r="A2" s="1" t="s">
        <v>1</v>
      </c>
    </row>
    <row r="3" spans="1:48" x14ac:dyDescent="0.55000000000000004">
      <c r="A3" s="1" t="str">
        <f>Input!A86</f>
        <v>San Jose Water Company</v>
      </c>
    </row>
    <row r="4" spans="1:48" ht="14.7" thickBot="1" x14ac:dyDescent="0.6">
      <c r="A4" s="1"/>
    </row>
    <row r="5" spans="1:48" x14ac:dyDescent="0.55000000000000004">
      <c r="A5" s="11" t="s">
        <v>83</v>
      </c>
      <c r="B5" s="12">
        <f>Input!$B$11</f>
        <v>2024</v>
      </c>
    </row>
    <row r="6" spans="1:48" x14ac:dyDescent="0.55000000000000004">
      <c r="A6" s="13" t="s">
        <v>6</v>
      </c>
      <c r="B6" s="57" t="s">
        <v>14</v>
      </c>
      <c r="C6" t="s">
        <v>37</v>
      </c>
    </row>
    <row r="7" spans="1:48" x14ac:dyDescent="0.55000000000000004">
      <c r="A7" s="13" t="s">
        <v>41</v>
      </c>
      <c r="B7" s="177">
        <v>6</v>
      </c>
    </row>
    <row r="8" spans="1:48" x14ac:dyDescent="0.55000000000000004">
      <c r="A8" s="13" t="s">
        <v>8</v>
      </c>
      <c r="B8" s="14" t="s">
        <v>24</v>
      </c>
    </row>
    <row r="9" spans="1:48" x14ac:dyDescent="0.55000000000000004">
      <c r="A9" s="13" t="s">
        <v>89</v>
      </c>
      <c r="B9" s="14" t="s">
        <v>27</v>
      </c>
    </row>
    <row r="10" spans="1:48" x14ac:dyDescent="0.55000000000000004">
      <c r="A10" s="13" t="s">
        <v>51</v>
      </c>
      <c r="B10" s="14" t="str">
        <f>VLOOKUP(B11,Input!$A$86:$C$92,2,FALSE)</f>
        <v>San Jose Water Company</v>
      </c>
    </row>
    <row r="11" spans="1:48" ht="14.7" thickBot="1" x14ac:dyDescent="0.6">
      <c r="A11" s="15" t="s">
        <v>28</v>
      </c>
      <c r="B11" s="35" t="str">
        <f>'Residential Bill_Current_avg'!B11</f>
        <v>San Jose Water Company</v>
      </c>
    </row>
    <row r="12" spans="1:48" ht="14.7" thickBot="1" x14ac:dyDescent="0.6">
      <c r="A12" s="34"/>
      <c r="B12" s="24"/>
    </row>
    <row r="13" spans="1:48" ht="14.7" thickBot="1" x14ac:dyDescent="0.6">
      <c r="A13" s="1"/>
      <c r="B13" s="209" t="str">
        <f>CONCATENATE("January"," ",$B$5)</f>
        <v>January 2024</v>
      </c>
      <c r="C13" s="210"/>
      <c r="D13" s="211"/>
      <c r="F13" s="209" t="str">
        <f>CONCATENATE("February"," ",$B$5)</f>
        <v>February 2024</v>
      </c>
      <c r="G13" s="210"/>
      <c r="H13" s="211"/>
      <c r="J13" s="209" t="str">
        <f>CONCATENATE("March"," ",$B$5)</f>
        <v>March 2024</v>
      </c>
      <c r="K13" s="210"/>
      <c r="L13" s="211"/>
      <c r="N13" s="209" t="str">
        <f>CONCATENATE("April"," ",$B$5)</f>
        <v>April 2024</v>
      </c>
      <c r="O13" s="210"/>
      <c r="P13" s="211"/>
      <c r="R13" s="209" t="str">
        <f>CONCATENATE("May"," ",$B$5)</f>
        <v>May 2024</v>
      </c>
      <c r="S13" s="210"/>
      <c r="T13" s="211"/>
      <c r="V13" s="209" t="str">
        <f>CONCATENATE("June"," ",$B$5)</f>
        <v>June 2024</v>
      </c>
      <c r="W13" s="210"/>
      <c r="X13" s="211"/>
      <c r="Z13" s="209" t="str">
        <f>CONCATENATE("July"," ",$B$5)</f>
        <v>July 2024</v>
      </c>
      <c r="AA13" s="210"/>
      <c r="AB13" s="211"/>
      <c r="AD13" s="209" t="str">
        <f>CONCATENATE("August"," ",$B$5)</f>
        <v>August 2024</v>
      </c>
      <c r="AE13" s="210"/>
      <c r="AF13" s="211"/>
      <c r="AH13" s="209" t="str">
        <f>CONCATENATE("September"," ",$B$5)</f>
        <v>September 2024</v>
      </c>
      <c r="AI13" s="210"/>
      <c r="AJ13" s="211"/>
      <c r="AL13" s="209" t="str">
        <f>CONCATENATE("October"," ",$B$5)</f>
        <v>October 2024</v>
      </c>
      <c r="AM13" s="210"/>
      <c r="AN13" s="211"/>
      <c r="AP13" s="209" t="str">
        <f>CONCATENATE("November"," ",$B$5)</f>
        <v>November 2024</v>
      </c>
      <c r="AQ13" s="210"/>
      <c r="AR13" s="211"/>
      <c r="AS13" s="171"/>
      <c r="AT13" s="209" t="str">
        <f>CONCATENATE("December"," ",$B$5)</f>
        <v>December 2024</v>
      </c>
      <c r="AU13" s="210"/>
      <c r="AV13" s="211"/>
    </row>
    <row r="14" spans="1:48" x14ac:dyDescent="0.55000000000000004">
      <c r="A14" s="1" t="s">
        <v>5</v>
      </c>
      <c r="B14" s="16"/>
      <c r="C14" s="17"/>
      <c r="D14" s="18">
        <f>INDEX(Input!$C$28:$AL$42,MATCH('Residential Bills_Yr 3_6 Units'!$B$6,Input!$A$28:$A$42,0),MATCH('Residential Bills_Yr 3_6 Units'!B$13,Input!$C$27:$AL$27,0))</f>
        <v>54.784772356597571</v>
      </c>
      <c r="F14" s="16"/>
      <c r="G14" s="17"/>
      <c r="H14" s="18">
        <f>INDEX(Input!$C$28:$AL$42,MATCH('Residential Bills_Yr 3_6 Units'!$B$6,Input!$A$28:$A$42,0),MATCH('Residential Bills_Yr 3_6 Units'!F$13,Input!$C$27:$AL$27,0))</f>
        <v>54.784772356597571</v>
      </c>
      <c r="J14" s="16"/>
      <c r="K14" s="17"/>
      <c r="L14" s="18">
        <f>INDEX(Input!$C$28:$AL$42,MATCH('Residential Bills_Yr 3_6 Units'!$B$6,Input!$A$28:$A$42,0),MATCH('Residential Bills_Yr 3_6 Units'!J$13,Input!$C$27:$AL$27,0))</f>
        <v>54.784772356597571</v>
      </c>
      <c r="N14" s="16"/>
      <c r="O14" s="17"/>
      <c r="P14" s="18">
        <f>INDEX(Input!$C$28:$AL$42,MATCH('Residential Bills_Yr 3_6 Units'!$B$6,Input!$A$28:$A$42,0),MATCH('Residential Bills_Yr 3_6 Units'!N$13,Input!$C$27:$AL$27,0))</f>
        <v>54.784772356597571</v>
      </c>
      <c r="R14" s="16"/>
      <c r="S14" s="17"/>
      <c r="T14" s="18">
        <f>INDEX(Input!$C$28:$AL$42,MATCH('Residential Bills_Yr 3_6 Units'!$B$6,Input!$A$28:$A$42,0),MATCH('Residential Bills_Yr 3_6 Units'!R$13,Input!$C$27:$AL$27,0))</f>
        <v>54.784772356597571</v>
      </c>
      <c r="V14" s="16"/>
      <c r="W14" s="17"/>
      <c r="X14" s="18">
        <f>INDEX(Input!$C$28:$AL$42,MATCH('Residential Bills_Yr 3_6 Units'!$B$6,Input!$A$28:$A$42,0),MATCH('Residential Bills_Yr 3_6 Units'!V$13,Input!$C$27:$AL$27,0))</f>
        <v>54.784772356597571</v>
      </c>
      <c r="Z14" s="16"/>
      <c r="AA14" s="17"/>
      <c r="AB14" s="18">
        <f>INDEX(Input!$C$28:$AL$42,MATCH('Residential Bills_Yr 3_6 Units'!$B$6,Input!$A$28:$A$42,0),MATCH('Residential Bills_Yr 3_6 Units'!Z$13,Input!$C$27:$AL$27,0))</f>
        <v>54.784772356597571</v>
      </c>
      <c r="AD14" s="16"/>
      <c r="AE14" s="17"/>
      <c r="AF14" s="18">
        <f>INDEX(Input!$C$28:$AL$42,MATCH('Residential Bills_Yr 3_6 Units'!$B$6,Input!$A$28:$A$42,0),MATCH('Residential Bills_Yr 3_6 Units'!AD$13,Input!$C$27:$AL$27,0))</f>
        <v>54.784772356597571</v>
      </c>
      <c r="AH14" s="16"/>
      <c r="AI14" s="17"/>
      <c r="AJ14" s="18">
        <f>INDEX(Input!$C$28:$AL$42,MATCH('Residential Bills_Yr 3_6 Units'!$B$6,Input!$A$28:$A$42,0),MATCH('Residential Bills_Yr 3_6 Units'!AH$13,Input!$C$27:$AL$27,0))</f>
        <v>54.784772356597571</v>
      </c>
      <c r="AL14" s="16"/>
      <c r="AM14" s="17"/>
      <c r="AN14" s="18">
        <f>INDEX(Input!$C$28:$AL$42,MATCH('Residential Bills_Yr 3_6 Units'!$B$6,Input!$A$28:$A$42,0),MATCH('Residential Bills_Yr 3_6 Units'!AL$13,Input!$C$27:$AL$27,0))</f>
        <v>54.784772356597571</v>
      </c>
      <c r="AP14" s="16"/>
      <c r="AQ14" s="17"/>
      <c r="AR14" s="18">
        <f>INDEX(Input!$C$28:$AL$42,MATCH('Residential Bills_Yr 3_6 Units'!$B$6,Input!$A$28:$A$42,0),MATCH('Residential Bills_Yr 3_6 Units'!AP$13,Input!$C$27:$AL$27,0))</f>
        <v>54.784772356597571</v>
      </c>
      <c r="AS14" s="175"/>
      <c r="AT14" s="16"/>
      <c r="AU14" s="17"/>
      <c r="AV14" s="18">
        <f>INDEX(Input!$C$28:$AL$42,MATCH('Residential Bills_Yr 3_6 Units'!$B$6,Input!$A$28:$A$42,0),MATCH('Residential Bills_Yr 3_6 Units'!AT$13,Input!$C$27:$AL$27,0))</f>
        <v>54.784772356597571</v>
      </c>
    </row>
    <row r="15" spans="1:48" x14ac:dyDescent="0.55000000000000004">
      <c r="B15" s="16"/>
      <c r="C15" s="17"/>
      <c r="D15" s="19"/>
      <c r="F15" s="16"/>
      <c r="G15" s="17"/>
      <c r="H15" s="19"/>
      <c r="J15" s="16"/>
      <c r="K15" s="17"/>
      <c r="L15" s="19"/>
      <c r="N15" s="16"/>
      <c r="O15" s="17"/>
      <c r="P15" s="19"/>
      <c r="R15" s="16"/>
      <c r="S15" s="17"/>
      <c r="T15" s="19"/>
      <c r="V15" s="16"/>
      <c r="W15" s="17"/>
      <c r="X15" s="19"/>
      <c r="Z15" s="16"/>
      <c r="AA15" s="17"/>
      <c r="AB15" s="19"/>
      <c r="AD15" s="16"/>
      <c r="AE15" s="17"/>
      <c r="AF15" s="19"/>
      <c r="AH15" s="16"/>
      <c r="AI15" s="17"/>
      <c r="AJ15" s="19"/>
      <c r="AL15" s="16"/>
      <c r="AM15" s="17"/>
      <c r="AN15" s="19"/>
      <c r="AP15" s="16"/>
      <c r="AQ15" s="17"/>
      <c r="AR15" s="19"/>
      <c r="AS15" s="17"/>
      <c r="AT15" s="16"/>
      <c r="AU15" s="17"/>
      <c r="AV15" s="19"/>
    </row>
    <row r="16" spans="1:48" x14ac:dyDescent="0.55000000000000004">
      <c r="A16" s="1" t="s">
        <v>33</v>
      </c>
      <c r="B16" s="20" t="s">
        <v>29</v>
      </c>
      <c r="C16" s="21" t="s">
        <v>7</v>
      </c>
      <c r="D16" s="22" t="s">
        <v>30</v>
      </c>
      <c r="F16" s="20" t="s">
        <v>29</v>
      </c>
      <c r="G16" s="21" t="s">
        <v>7</v>
      </c>
      <c r="H16" s="111" t="s">
        <v>30</v>
      </c>
      <c r="J16" s="20" t="s">
        <v>29</v>
      </c>
      <c r="K16" s="21" t="s">
        <v>7</v>
      </c>
      <c r="L16" s="111" t="s">
        <v>30</v>
      </c>
      <c r="N16" s="20" t="s">
        <v>29</v>
      </c>
      <c r="O16" s="21" t="s">
        <v>7</v>
      </c>
      <c r="P16" s="111" t="s">
        <v>30</v>
      </c>
      <c r="R16" s="20" t="s">
        <v>29</v>
      </c>
      <c r="S16" s="21" t="s">
        <v>7</v>
      </c>
      <c r="T16" s="111" t="s">
        <v>30</v>
      </c>
      <c r="V16" s="20" t="s">
        <v>29</v>
      </c>
      <c r="W16" s="21" t="s">
        <v>7</v>
      </c>
      <c r="X16" s="111" t="s">
        <v>30</v>
      </c>
      <c r="Z16" s="20" t="s">
        <v>29</v>
      </c>
      <c r="AA16" s="21" t="s">
        <v>7</v>
      </c>
      <c r="AB16" s="111" t="s">
        <v>30</v>
      </c>
      <c r="AD16" s="20" t="s">
        <v>29</v>
      </c>
      <c r="AE16" s="21" t="s">
        <v>7</v>
      </c>
      <c r="AF16" s="111" t="s">
        <v>30</v>
      </c>
      <c r="AH16" s="20" t="s">
        <v>29</v>
      </c>
      <c r="AI16" s="21" t="s">
        <v>7</v>
      </c>
      <c r="AJ16" s="111" t="s">
        <v>30</v>
      </c>
      <c r="AL16" s="20" t="s">
        <v>29</v>
      </c>
      <c r="AM16" s="21" t="s">
        <v>7</v>
      </c>
      <c r="AN16" s="111" t="s">
        <v>30</v>
      </c>
      <c r="AP16" s="20" t="s">
        <v>29</v>
      </c>
      <c r="AQ16" s="21" t="s">
        <v>7</v>
      </c>
      <c r="AR16" s="111" t="s">
        <v>30</v>
      </c>
      <c r="AS16" s="170"/>
      <c r="AT16" s="20" t="s">
        <v>29</v>
      </c>
      <c r="AU16" s="21" t="s">
        <v>7</v>
      </c>
      <c r="AV16" s="111" t="s">
        <v>30</v>
      </c>
    </row>
    <row r="17" spans="1:48" x14ac:dyDescent="0.55000000000000004">
      <c r="A17" t="str">
        <f>Input!A21</f>
        <v>Tier 1</v>
      </c>
      <c r="B17" s="23">
        <f>INDEX(Input!$C$21:$AL$25,MATCH('Residential Bills_Yr 3_6 Units'!$A17,Input!$A$21:$A$25,0),MATCH('Residential Bills_Yr 3_6 Units'!B$13,Input!$C$20:$AL$20,0))</f>
        <v>4.2841030680439296</v>
      </c>
      <c r="C17" s="24">
        <f>IF($B$7&gt;Input!F101,Input!F101,'Residential Bills_Yr 3_6 Units'!$B$7)</f>
        <v>6</v>
      </c>
      <c r="D17" s="25">
        <f>ROUND(IFERROR(B17*C17," "),2)</f>
        <v>25.7</v>
      </c>
      <c r="F17" s="23">
        <f>INDEX(Input!$C$21:$AL$25,MATCH('Residential Bills_Yr 3_6 Units'!$A17,Input!$A$21:$A$25,0),MATCH('Residential Bills_Yr 3_6 Units'!F$13,Input!$C$20:$AL$20,0))</f>
        <v>4.2841030680439296</v>
      </c>
      <c r="G17" s="24">
        <f>IF($B$7&gt;Input!G101,Input!G101,'Residential Bills_Yr 3_6 Units'!$B$7)</f>
        <v>6</v>
      </c>
      <c r="H17" s="25">
        <f>ROUND(IFERROR(F17*G17," "),2)</f>
        <v>25.7</v>
      </c>
      <c r="J17" s="23">
        <f>INDEX(Input!$C$21:$AL$25,MATCH('Residential Bills_Yr 3_6 Units'!$A17,Input!$A$21:$A$25,0),MATCH('Residential Bills_Yr 3_6 Units'!J$13,Input!$C$20:$AL$20,0))</f>
        <v>4.2841030680439296</v>
      </c>
      <c r="K17" s="24">
        <f>IF($B$7&gt;Input!H101,Input!H101,'Residential Bills_Yr 3_6 Units'!$B$7)</f>
        <v>6</v>
      </c>
      <c r="L17" s="25">
        <f>ROUND(IFERROR(J17*K17," "),2)</f>
        <v>25.7</v>
      </c>
      <c r="N17" s="23">
        <f>INDEX(Input!$C$21:$AL$25,MATCH('Residential Bills_Yr 3_6 Units'!$A17,Input!$A$21:$A$25,0),MATCH('Residential Bills_Yr 3_6 Units'!N$13,Input!$C$20:$AL$20,0))</f>
        <v>4.2841030680439296</v>
      </c>
      <c r="O17" s="24">
        <f>IF($B$7&gt;Input!I101,Input!I101,'Residential Bills_Yr 3_6 Units'!$B$7)</f>
        <v>6</v>
      </c>
      <c r="P17" s="25">
        <f>ROUND(IFERROR(N17*O17," "),2)</f>
        <v>25.7</v>
      </c>
      <c r="R17" s="23">
        <f>INDEX(Input!$C$21:$AL$25,MATCH('Residential Bills_Yr 3_6 Units'!$A17,Input!$A$21:$A$25,0),MATCH('Residential Bills_Yr 3_6 Units'!R$13,Input!$C$20:$AL$20,0))</f>
        <v>4.2841030680439296</v>
      </c>
      <c r="S17" s="24">
        <f>IF($B$7&gt;Input!J101,Input!J101,'Residential Bills_Yr 3_6 Units'!$B$7)</f>
        <v>6</v>
      </c>
      <c r="T17" s="25">
        <f>ROUND(IFERROR(R17*S17," "),2)</f>
        <v>25.7</v>
      </c>
      <c r="V17" s="23">
        <f>INDEX(Input!$C$21:$AL$25,MATCH('Residential Bills_Yr 3_6 Units'!$A17,Input!$A$21:$A$25,0),MATCH('Residential Bills_Yr 3_6 Units'!V$13,Input!$C$20:$AL$20,0))</f>
        <v>4.2841030680439296</v>
      </c>
      <c r="W17" s="24">
        <f>IF($B$7&gt;Input!K101,Input!K101,'Residential Bills_Yr 3_6 Units'!$B$7)</f>
        <v>6</v>
      </c>
      <c r="X17" s="25">
        <f>ROUND(IFERROR(V17*W17," "),2)</f>
        <v>25.7</v>
      </c>
      <c r="Z17" s="23">
        <f>INDEX(Input!$C$21:$AL$25,MATCH('Residential Bills_Yr 3_6 Units'!$A17,Input!$A$21:$A$25,0),MATCH('Residential Bills_Yr 3_6 Units'!Z$13,Input!$C$20:$AL$20,0))</f>
        <v>4.2841030680439296</v>
      </c>
      <c r="AA17" s="24">
        <f>IF($B$7&gt;Input!L101,Input!L101,'Residential Bills_Yr 3_6 Units'!$B$7)</f>
        <v>6</v>
      </c>
      <c r="AB17" s="25">
        <f>ROUND(IFERROR(Z17*AA17," "),2)</f>
        <v>25.7</v>
      </c>
      <c r="AD17" s="23">
        <f>INDEX(Input!$C$21:$AL$25,MATCH('Residential Bills_Yr 3_6 Units'!$A17,Input!$A$21:$A$25,0),MATCH('Residential Bills_Yr 3_6 Units'!AD$13,Input!$C$20:$AL$20,0))</f>
        <v>4.2841030680439296</v>
      </c>
      <c r="AE17" s="24">
        <f>IF($B$7&gt;Input!M101,Input!M101,'Residential Bills_Yr 3_6 Units'!$B$7)</f>
        <v>6</v>
      </c>
      <c r="AF17" s="25">
        <f>ROUND(IFERROR(AD17*AE17," "),2)</f>
        <v>25.7</v>
      </c>
      <c r="AH17" s="23">
        <f>INDEX(Input!$C$21:$AL$25,MATCH('Residential Bills_Yr 3_6 Units'!$A17,Input!$A$21:$A$25,0),MATCH('Residential Bills_Yr 3_6 Units'!AH$13,Input!$C$20:$AL$20,0))</f>
        <v>4.2841030680439296</v>
      </c>
      <c r="AI17" s="24">
        <f>IF($B$7&gt;Input!N101,Input!N101,'Residential Bills_Yr 3_6 Units'!$B$7)</f>
        <v>6</v>
      </c>
      <c r="AJ17" s="25">
        <f>ROUND(IFERROR(AH17*AI17," "),2)</f>
        <v>25.7</v>
      </c>
      <c r="AL17" s="23">
        <f>INDEX(Input!$C$21:$AL$25,MATCH('Residential Bills_Yr 3_6 Units'!$A17,Input!$A$21:$A$25,0),MATCH('Residential Bills_Yr 3_6 Units'!AL$13,Input!$C$20:$AL$20,0))</f>
        <v>4.2841030680439296</v>
      </c>
      <c r="AM17" s="24">
        <f>IF($B$7&gt;Input!O101,Input!O101,'Residential Bills_Yr 3_6 Units'!$B$7)</f>
        <v>6</v>
      </c>
      <c r="AN17" s="25">
        <f>ROUND(IFERROR(AL17*AM17," "),2)</f>
        <v>25.7</v>
      </c>
      <c r="AP17" s="23">
        <f>INDEX(Input!$C$21:$AL$25,MATCH('Residential Bills_Yr 3_6 Units'!$A17,Input!$A$21:$A$25,0),MATCH('Residential Bills_Yr 3_6 Units'!AP$13,Input!$C$20:$AL$20,0))</f>
        <v>4.2841030680439296</v>
      </c>
      <c r="AQ17" s="24">
        <f>IF($B$7&gt;Input!P101,Input!P101,'Residential Bills_Yr 3_6 Units'!$B$7)</f>
        <v>6</v>
      </c>
      <c r="AR17" s="25">
        <f>ROUND(IFERROR(AP17*AQ17," "),2)</f>
        <v>25.7</v>
      </c>
      <c r="AS17" s="30"/>
      <c r="AT17" s="23">
        <f>INDEX(Input!$C$21:$AL$25,MATCH('Residential Bills_Yr 3_6 Units'!$A17,Input!$A$21:$A$25,0),MATCH('Residential Bills_Yr 3_6 Units'!AT$13,Input!$C$20:$AL$20,0))</f>
        <v>4.2841030680439296</v>
      </c>
      <c r="AU17" s="24">
        <f>IF($B$7&gt;Input!Q101,Input!Q101,'Residential Bills_Yr 3_6 Units'!$B$7)</f>
        <v>6</v>
      </c>
      <c r="AV17" s="25">
        <f>ROUND(IFERROR(AT17*AU17," "),2)</f>
        <v>25.7</v>
      </c>
    </row>
    <row r="18" spans="1:48" x14ac:dyDescent="0.55000000000000004">
      <c r="A18" t="str">
        <f>Input!A22</f>
        <v>Tier 2</v>
      </c>
      <c r="B18" s="23">
        <f>INDEX(Input!$C$21:$AL$25,MATCH('Residential Bills_Yr 3_6 Units'!$A18,Input!$A$21:$A$25,0),MATCH('Residential Bills_Yr 3_6 Units'!B$13,Input!$C$20:$AL$20,0))</f>
        <v>6.1327533174439441</v>
      </c>
      <c r="C18" s="24">
        <f>IF(($B$7-C17)&gt;Input!F102,Input!F102,($B$7-C17))</f>
        <v>0</v>
      </c>
      <c r="D18" s="25">
        <f>ROUND(IFERROR(B18*C18," "),2)</f>
        <v>0</v>
      </c>
      <c r="F18" s="23">
        <f>INDEX(Input!$C$21:$AL$25,MATCH('Residential Bills_Yr 3_6 Units'!$A18,Input!$A$21:$A$25,0),MATCH('Residential Bills_Yr 3_6 Units'!F$13,Input!$C$20:$AL$20,0))</f>
        <v>6.1327533174439441</v>
      </c>
      <c r="G18" s="24">
        <f>IF(($B$7-G17)&gt;Input!G102,Input!G102,($B$7-G17))</f>
        <v>0</v>
      </c>
      <c r="H18" s="25">
        <f>ROUND(IFERROR(F18*G18," "),2)</f>
        <v>0</v>
      </c>
      <c r="J18" s="23">
        <f>INDEX(Input!$C$21:$AL$25,MATCH('Residential Bills_Yr 3_6 Units'!$A18,Input!$A$21:$A$25,0),MATCH('Residential Bills_Yr 3_6 Units'!J$13,Input!$C$20:$AL$20,0))</f>
        <v>6.1327533174439441</v>
      </c>
      <c r="K18" s="24">
        <f>IF(($B$7-K17)&gt;Input!H102,Input!H102,($B$7-K17))</f>
        <v>0</v>
      </c>
      <c r="L18" s="25">
        <f>ROUND(IFERROR(J18*K18," "),2)</f>
        <v>0</v>
      </c>
      <c r="N18" s="23">
        <f>INDEX(Input!$C$21:$AL$25,MATCH('Residential Bills_Yr 3_6 Units'!$A18,Input!$A$21:$A$25,0),MATCH('Residential Bills_Yr 3_6 Units'!N$13,Input!$C$20:$AL$20,0))</f>
        <v>6.1327533174439441</v>
      </c>
      <c r="O18" s="24">
        <f>IF(($B$7-O17)&gt;Input!I102,Input!I102,($B$7-O17))</f>
        <v>0</v>
      </c>
      <c r="P18" s="25">
        <f>ROUND(IFERROR(N18*O18," "),2)</f>
        <v>0</v>
      </c>
      <c r="R18" s="23">
        <f>INDEX(Input!$C$21:$AL$25,MATCH('Residential Bills_Yr 3_6 Units'!$A18,Input!$A$21:$A$25,0),MATCH('Residential Bills_Yr 3_6 Units'!R$13,Input!$C$20:$AL$20,0))</f>
        <v>6.1327533174439441</v>
      </c>
      <c r="S18" s="24">
        <f>IF(($B$7-S17)&gt;Input!J102,Input!J102,($B$7-S17))</f>
        <v>0</v>
      </c>
      <c r="T18" s="25">
        <f>ROUND(IFERROR(R18*S18," "),2)</f>
        <v>0</v>
      </c>
      <c r="V18" s="23">
        <f>INDEX(Input!$C$21:$AL$25,MATCH('Residential Bills_Yr 3_6 Units'!$A18,Input!$A$21:$A$25,0),MATCH('Residential Bills_Yr 3_6 Units'!V$13,Input!$C$20:$AL$20,0))</f>
        <v>6.1327533174439441</v>
      </c>
      <c r="W18" s="24">
        <f>IF(($B$7-W17)&gt;Input!K102,Input!K102,($B$7-W17))</f>
        <v>0</v>
      </c>
      <c r="X18" s="25">
        <f>ROUND(IFERROR(V18*W18," "),2)</f>
        <v>0</v>
      </c>
      <c r="Z18" s="23">
        <f>INDEX(Input!$C$21:$AL$25,MATCH('Residential Bills_Yr 3_6 Units'!$A18,Input!$A$21:$A$25,0),MATCH('Residential Bills_Yr 3_6 Units'!Z$13,Input!$C$20:$AL$20,0))</f>
        <v>6.1327533174439441</v>
      </c>
      <c r="AA18" s="24">
        <f>IF(($B$7-AA17)&gt;Input!L102,Input!L102,($B$7-AA17))</f>
        <v>0</v>
      </c>
      <c r="AB18" s="25">
        <f>ROUND(IFERROR(Z18*AA18," "),2)</f>
        <v>0</v>
      </c>
      <c r="AD18" s="23">
        <f>INDEX(Input!$C$21:$AL$25,MATCH('Residential Bills_Yr 3_6 Units'!$A18,Input!$A$21:$A$25,0),MATCH('Residential Bills_Yr 3_6 Units'!AD$13,Input!$C$20:$AL$20,0))</f>
        <v>6.1327533174439441</v>
      </c>
      <c r="AE18" s="24">
        <f>IF(($B$7-AE17)&gt;Input!M102,Input!M102,($B$7-AE17))</f>
        <v>0</v>
      </c>
      <c r="AF18" s="25">
        <f>ROUND(IFERROR(AD18*AE18," "),2)</f>
        <v>0</v>
      </c>
      <c r="AH18" s="23">
        <f>INDEX(Input!$C$21:$AL$25,MATCH('Residential Bills_Yr 3_6 Units'!$A18,Input!$A$21:$A$25,0),MATCH('Residential Bills_Yr 3_6 Units'!AH$13,Input!$C$20:$AL$20,0))</f>
        <v>6.1327533174439441</v>
      </c>
      <c r="AI18" s="24">
        <f>IF(($B$7-AI17)&gt;Input!N102,Input!N102,($B$7-AI17))</f>
        <v>0</v>
      </c>
      <c r="AJ18" s="25">
        <f>ROUND(IFERROR(AH18*AI18," "),2)</f>
        <v>0</v>
      </c>
      <c r="AL18" s="23">
        <f>INDEX(Input!$C$21:$AL$25,MATCH('Residential Bills_Yr 3_6 Units'!$A18,Input!$A$21:$A$25,0),MATCH('Residential Bills_Yr 3_6 Units'!AL$13,Input!$C$20:$AL$20,0))</f>
        <v>6.1327533174439441</v>
      </c>
      <c r="AM18" s="24">
        <f>IF(($B$7-AM17)&gt;Input!O102,Input!O102,($B$7-AM17))</f>
        <v>0</v>
      </c>
      <c r="AN18" s="25">
        <f>ROUND(IFERROR(AL18*AM18," "),2)</f>
        <v>0</v>
      </c>
      <c r="AP18" s="23">
        <f>INDEX(Input!$C$21:$AL$25,MATCH('Residential Bills_Yr 3_6 Units'!$A18,Input!$A$21:$A$25,0),MATCH('Residential Bills_Yr 3_6 Units'!AP$13,Input!$C$20:$AL$20,0))</f>
        <v>6.1327533174439441</v>
      </c>
      <c r="AQ18" s="24">
        <f>IF(($B$7-AQ17)&gt;Input!P102,Input!P102,($B$7-AQ17))</f>
        <v>0</v>
      </c>
      <c r="AR18" s="25">
        <f>ROUND(IFERROR(AP18*AQ18," "),2)</f>
        <v>0</v>
      </c>
      <c r="AS18" s="30"/>
      <c r="AT18" s="23">
        <f>INDEX(Input!$C$21:$AL$25,MATCH('Residential Bills_Yr 3_6 Units'!$A18,Input!$A$21:$A$25,0),MATCH('Residential Bills_Yr 3_6 Units'!AT$13,Input!$C$20:$AL$20,0))</f>
        <v>6.1327533174439441</v>
      </c>
      <c r="AU18" s="24">
        <f>IF(($B$7-AU17)&gt;Input!Q102,Input!Q102,($B$7-AU17))</f>
        <v>0</v>
      </c>
      <c r="AV18" s="25">
        <f>ROUND(IFERROR(AT18*AU18," "),2)</f>
        <v>0</v>
      </c>
    </row>
    <row r="19" spans="1:48" x14ac:dyDescent="0.55000000000000004">
      <c r="A19" t="str">
        <f>Input!A23</f>
        <v>Tier 3</v>
      </c>
      <c r="B19" s="23">
        <f>INDEX(Input!$C$21:$AL$25,MATCH('Residential Bills_Yr 3_6 Units'!$A19,Input!$A$21:$A$25,0),MATCH('Residential Bills_Yr 3_6 Units'!B$13,Input!$C$20:$AL$20,0))</f>
        <v>9.4739837944770233</v>
      </c>
      <c r="C19" s="24">
        <v>0</v>
      </c>
      <c r="D19" s="25">
        <f>ROUND(IFERROR(B19*C19," "),2)</f>
        <v>0</v>
      </c>
      <c r="F19" s="23">
        <f>INDEX(Input!$C$21:$AL$25,MATCH('Residential Bills_Yr 3_6 Units'!$A19,Input!$A$21:$A$25,0),MATCH('Residential Bills_Yr 3_6 Units'!F$13,Input!$C$20:$AL$20,0))</f>
        <v>9.4739837944770233</v>
      </c>
      <c r="G19" s="24">
        <f>IF(OR(Input!G99="Tier 4",Input!G99="Tier 5"),IF(('Residential Bills_Yr 3_6 Units'!$B$7-'Residential Bills_Yr 3_6 Units'!G17-'Residential Bills_Yr 3_6 Units'!G18)&gt;Input!G103,Input!G103,('Residential Bills_Yr 3_6 Units'!$B$7-'Residential Bills_Yr 3_6 Units'!G17-'Residential Bills_Yr 3_6 Units'!G18)),('Residential Bills_Yr 3_6 Units'!$B$7-'Residential Bills_Yr 3_6 Units'!G17-'Residential Bills_Yr 3_6 Units'!G18))</f>
        <v>0</v>
      </c>
      <c r="H19" s="25">
        <f>ROUND(IFERROR(F19*G19," "),2)</f>
        <v>0</v>
      </c>
      <c r="J19" s="23">
        <f>INDEX(Input!$C$21:$AL$25,MATCH('Residential Bills_Yr 3_6 Units'!$A19,Input!$A$21:$A$25,0),MATCH('Residential Bills_Yr 3_6 Units'!J$13,Input!$C$20:$AL$20,0))</f>
        <v>9.4739837944770233</v>
      </c>
      <c r="K19" s="24">
        <f>IF(OR(Input!H99="Tier 4",Input!H99="Tier 5"),IF(('Residential Bills_Yr 3_6 Units'!$B$7-'Residential Bills_Yr 3_6 Units'!K17-'Residential Bills_Yr 3_6 Units'!K18)&gt;Input!H103,Input!H103,('Residential Bills_Yr 3_6 Units'!$B$7-'Residential Bills_Yr 3_6 Units'!K17-'Residential Bills_Yr 3_6 Units'!K18)),('Residential Bills_Yr 3_6 Units'!$B$7-'Residential Bills_Yr 3_6 Units'!K17-'Residential Bills_Yr 3_6 Units'!K18))</f>
        <v>0</v>
      </c>
      <c r="L19" s="25">
        <f>ROUND(IFERROR(J19*K19," "),2)</f>
        <v>0</v>
      </c>
      <c r="N19" s="23">
        <f>INDEX(Input!$C$21:$AL$25,MATCH('Residential Bills_Yr 3_6 Units'!$A19,Input!$A$21:$A$25,0),MATCH('Residential Bills_Yr 3_6 Units'!N$13,Input!$C$20:$AL$20,0))</f>
        <v>9.4739837944770233</v>
      </c>
      <c r="O19" s="24">
        <f>IF(OR(Input!I99="Tier 4",Input!I99="Tier 5"),IF(('Residential Bills_Yr 3_6 Units'!$B$7-'Residential Bills_Yr 3_6 Units'!O17-'Residential Bills_Yr 3_6 Units'!O18)&gt;Input!I103,Input!I103,('Residential Bills_Yr 3_6 Units'!$B$7-'Residential Bills_Yr 3_6 Units'!O17-'Residential Bills_Yr 3_6 Units'!O18)),('Residential Bills_Yr 3_6 Units'!$B$7-'Residential Bills_Yr 3_6 Units'!O17-'Residential Bills_Yr 3_6 Units'!O18))</f>
        <v>0</v>
      </c>
      <c r="P19" s="25">
        <f>ROUND(IFERROR(N19*O19," "),2)</f>
        <v>0</v>
      </c>
      <c r="R19" s="23">
        <f>INDEX(Input!$C$21:$AL$25,MATCH('Residential Bills_Yr 3_6 Units'!$A19,Input!$A$21:$A$25,0),MATCH('Residential Bills_Yr 3_6 Units'!R$13,Input!$C$20:$AL$20,0))</f>
        <v>9.4739837944770233</v>
      </c>
      <c r="S19" s="24">
        <f>IF(OR(Input!J99="Tier 4",Input!J99="Tier 5"),IF(('Residential Bills_Yr 3_6 Units'!$B$7-'Residential Bills_Yr 3_6 Units'!S17-'Residential Bills_Yr 3_6 Units'!S18)&gt;Input!J103,Input!J103,('Residential Bills_Yr 3_6 Units'!$B$7-'Residential Bills_Yr 3_6 Units'!S17-'Residential Bills_Yr 3_6 Units'!S18)),('Residential Bills_Yr 3_6 Units'!$B$7-'Residential Bills_Yr 3_6 Units'!S17-'Residential Bills_Yr 3_6 Units'!S18))</f>
        <v>0</v>
      </c>
      <c r="T19" s="25">
        <f>ROUND(IFERROR(R19*S19," "),2)</f>
        <v>0</v>
      </c>
      <c r="V19" s="23">
        <f>INDEX(Input!$C$21:$AL$25,MATCH('Residential Bills_Yr 3_6 Units'!$A19,Input!$A$21:$A$25,0),MATCH('Residential Bills_Yr 3_6 Units'!V$13,Input!$C$20:$AL$20,0))</f>
        <v>9.4739837944770233</v>
      </c>
      <c r="W19" s="24">
        <f>IF(OR(Input!K99="Tier 4",Input!K99="Tier 5"),IF(('Residential Bills_Yr 3_6 Units'!$B$7-'Residential Bills_Yr 3_6 Units'!W17-'Residential Bills_Yr 3_6 Units'!W18)&gt;Input!K103,Input!K103,('Residential Bills_Yr 3_6 Units'!$B$7-'Residential Bills_Yr 3_6 Units'!W17-'Residential Bills_Yr 3_6 Units'!W18)),('Residential Bills_Yr 3_6 Units'!$B$7-'Residential Bills_Yr 3_6 Units'!W17-'Residential Bills_Yr 3_6 Units'!W18))</f>
        <v>0</v>
      </c>
      <c r="X19" s="25">
        <f>ROUND(IFERROR(V19*W19," "),2)</f>
        <v>0</v>
      </c>
      <c r="Z19" s="23">
        <f>INDEX(Input!$C$21:$AL$25,MATCH('Residential Bills_Yr 3_6 Units'!$A19,Input!$A$21:$A$25,0),MATCH('Residential Bills_Yr 3_6 Units'!Z$13,Input!$C$20:$AL$20,0))</f>
        <v>9.4739837944770233</v>
      </c>
      <c r="AA19" s="24">
        <f>IF(OR(Input!L99="Tier 4",Input!L99="Tier 5"),IF(('Residential Bills_Yr 3_6 Units'!$B$7-'Residential Bills_Yr 3_6 Units'!AA17-'Residential Bills_Yr 3_6 Units'!AA18)&gt;Input!L103,Input!L103,('Residential Bills_Yr 3_6 Units'!$B$7-'Residential Bills_Yr 3_6 Units'!AA17-'Residential Bills_Yr 3_6 Units'!AA18)),('Residential Bills_Yr 3_6 Units'!$B$7-'Residential Bills_Yr 3_6 Units'!AA17-'Residential Bills_Yr 3_6 Units'!AA18))</f>
        <v>0</v>
      </c>
      <c r="AB19" s="25">
        <f>ROUND(IFERROR(Z19*AA19," "),2)</f>
        <v>0</v>
      </c>
      <c r="AD19" s="23">
        <f>INDEX(Input!$C$21:$AL$25,MATCH('Residential Bills_Yr 3_6 Units'!$A19,Input!$A$21:$A$25,0),MATCH('Residential Bills_Yr 3_6 Units'!AD$13,Input!$C$20:$AL$20,0))</f>
        <v>9.4739837944770233</v>
      </c>
      <c r="AE19" s="24">
        <f>IF(OR(Input!M99="Tier 4",Input!M99="Tier 5"),IF(('Residential Bills_Yr 3_6 Units'!$B$7-'Residential Bills_Yr 3_6 Units'!AE17-'Residential Bills_Yr 3_6 Units'!AE18)&gt;Input!M103,Input!M103,('Residential Bills_Yr 3_6 Units'!$B$7-'Residential Bills_Yr 3_6 Units'!AE17-'Residential Bills_Yr 3_6 Units'!AE18)),('Residential Bills_Yr 3_6 Units'!$B$7-'Residential Bills_Yr 3_6 Units'!AE17-'Residential Bills_Yr 3_6 Units'!AE18))</f>
        <v>0</v>
      </c>
      <c r="AF19" s="25">
        <f>ROUND(IFERROR(AD19*AE19," "),2)</f>
        <v>0</v>
      </c>
      <c r="AH19" s="23">
        <f>INDEX(Input!$C$21:$AL$25,MATCH('Residential Bills_Yr 3_6 Units'!$A19,Input!$A$21:$A$25,0),MATCH('Residential Bills_Yr 3_6 Units'!AH$13,Input!$C$20:$AL$20,0))</f>
        <v>9.4739837944770233</v>
      </c>
      <c r="AI19" s="24">
        <f>IF(OR(Input!N99="Tier 4",Input!N99="Tier 5"),IF(('Residential Bills_Yr 3_6 Units'!$B$7-'Residential Bills_Yr 3_6 Units'!AI17-'Residential Bills_Yr 3_6 Units'!AI18)&gt;Input!N103,Input!N103,('Residential Bills_Yr 3_6 Units'!$B$7-'Residential Bills_Yr 3_6 Units'!AI17-'Residential Bills_Yr 3_6 Units'!AI18)),('Residential Bills_Yr 3_6 Units'!$B$7-'Residential Bills_Yr 3_6 Units'!AI17-'Residential Bills_Yr 3_6 Units'!AI18))</f>
        <v>0</v>
      </c>
      <c r="AJ19" s="25">
        <f>ROUND(IFERROR(AH19*AI19," "),2)</f>
        <v>0</v>
      </c>
      <c r="AL19" s="23">
        <f>INDEX(Input!$C$21:$AL$25,MATCH('Residential Bills_Yr 3_6 Units'!$A19,Input!$A$21:$A$25,0),MATCH('Residential Bills_Yr 3_6 Units'!AL$13,Input!$C$20:$AL$20,0))</f>
        <v>9.4739837944770233</v>
      </c>
      <c r="AM19" s="24">
        <f>IF(OR(Input!O99="Tier 4",Input!O99="Tier 5"),IF(('Residential Bills_Yr 3_6 Units'!$B$7-'Residential Bills_Yr 3_6 Units'!AM17-'Residential Bills_Yr 3_6 Units'!AM18)&gt;Input!O103,Input!O103,('Residential Bills_Yr 3_6 Units'!$B$7-'Residential Bills_Yr 3_6 Units'!AM17-'Residential Bills_Yr 3_6 Units'!AM18)),('Residential Bills_Yr 3_6 Units'!$B$7-'Residential Bills_Yr 3_6 Units'!AM17-'Residential Bills_Yr 3_6 Units'!AM18))</f>
        <v>0</v>
      </c>
      <c r="AN19" s="25">
        <f>ROUND(IFERROR(AL19*AM19," "),2)</f>
        <v>0</v>
      </c>
      <c r="AP19" s="23">
        <f>INDEX(Input!$C$21:$AL$25,MATCH('Residential Bills_Yr 3_6 Units'!$A19,Input!$A$21:$A$25,0),MATCH('Residential Bills_Yr 3_6 Units'!AP$13,Input!$C$20:$AL$20,0))</f>
        <v>9.4739837944770233</v>
      </c>
      <c r="AQ19" s="24">
        <f>IF(OR(Input!P99="Tier 4",Input!P99="Tier 5"),IF(('Residential Bills_Yr 3_6 Units'!$B$7-'Residential Bills_Yr 3_6 Units'!AQ17-'Residential Bills_Yr 3_6 Units'!AQ18)&gt;Input!P103,Input!P103,('Residential Bills_Yr 3_6 Units'!$B$7-'Residential Bills_Yr 3_6 Units'!AQ17-'Residential Bills_Yr 3_6 Units'!AQ18)),('Residential Bills_Yr 3_6 Units'!$B$7-'Residential Bills_Yr 3_6 Units'!AQ17-'Residential Bills_Yr 3_6 Units'!AQ18))</f>
        <v>0</v>
      </c>
      <c r="AR19" s="25">
        <f>ROUND(IFERROR(AP19*AQ19," "),2)</f>
        <v>0</v>
      </c>
      <c r="AS19" s="30"/>
      <c r="AT19" s="23">
        <f>INDEX(Input!$C$21:$AL$25,MATCH('Residential Bills_Yr 3_6 Units'!$A19,Input!$A$21:$A$25,0),MATCH('Residential Bills_Yr 3_6 Units'!AT$13,Input!$C$20:$AL$20,0))</f>
        <v>9.4739837944770233</v>
      </c>
      <c r="AU19" s="24">
        <f>IF(OR(Input!Q99="Tier 4",Input!Q99="Tier 5"),IF(('Residential Bills_Yr 3_6 Units'!$B$7-'Residential Bills_Yr 3_6 Units'!AU17-'Residential Bills_Yr 3_6 Units'!AU18)&gt;Input!Q103,Input!Q103,('Residential Bills_Yr 3_6 Units'!$B$7-'Residential Bills_Yr 3_6 Units'!AU17-'Residential Bills_Yr 3_6 Units'!AU18)),('Residential Bills_Yr 3_6 Units'!$B$7-'Residential Bills_Yr 3_6 Units'!AU17-'Residential Bills_Yr 3_6 Units'!AU18))</f>
        <v>0</v>
      </c>
      <c r="AV19" s="25">
        <f>ROUND(IFERROR(AT19*AU19," "),2)</f>
        <v>0</v>
      </c>
    </row>
    <row r="20" spans="1:48" ht="14.5" hidden="1" customHeight="1" x14ac:dyDescent="0.55000000000000004">
      <c r="A20" t="str">
        <f>Input!A24</f>
        <v>Tier 4</v>
      </c>
      <c r="B20" s="23">
        <f>INDEX(Input!$C$21:$AL$25,MATCH('Residential Bills_Yr 3_6 Units'!$A20,Input!$A$21:$A$25,0),MATCH('Residential Bills_Yr 3_6 Units'!B$13,Input!$C$20:$AL$20,0))</f>
        <v>0</v>
      </c>
      <c r="C20" s="24" t="str">
        <f>IF(Input!F99="Tier 4",($B$7-C17-C18-C19),IF(Input!F99="Tier 5",IF(('Residential Bills_Yr 3_6 Units'!$B$7-'Residential Bills_Yr 3_6 Units'!C17-'Residential Bills_Yr 3_6 Units'!C18-'Residential Bills_Yr 3_6 Units'!C19)&gt;Input!F104,Input!F104,('Residential Bills_Yr 3_6 Units'!$B$7-'Residential Bills_Yr 3_6 Units'!C17-'Residential Bills_Yr 3_6 Units'!C18-'Residential Bills_Yr 3_6 Units'!C19))," "))</f>
        <v xml:space="preserve"> </v>
      </c>
      <c r="D20" s="25" t="str">
        <f t="shared" ref="D20:D21" si="0">IFERROR(B20*C20," ")</f>
        <v xml:space="preserve"> </v>
      </c>
      <c r="F20" s="23">
        <f>INDEX(Input!$C$21:$AL$25,MATCH('Residential Bills_Yr 3_6 Units'!$A20,Input!$A$21:$A$25,0),MATCH('Residential Bills_Yr 3_6 Units'!F$13,Input!$C$20:$AL$20,0))</f>
        <v>0</v>
      </c>
      <c r="G20" s="24" t="str">
        <f>IF(Input!G99="Tier 4",($B$7-G17-G18-G19),IF(Input!G99="Tier 5",IF(('Residential Bills_Yr 3_6 Units'!$B$7-'Residential Bills_Yr 3_6 Units'!G17-'Residential Bills_Yr 3_6 Units'!G18-'Residential Bills_Yr 3_6 Units'!G19)&gt;Input!G104,Input!G104,('Residential Bills_Yr 3_6 Units'!$B$7-'Residential Bills_Yr 3_6 Units'!G17-'Residential Bills_Yr 3_6 Units'!G18-'Residential Bills_Yr 3_6 Units'!G19))," "))</f>
        <v xml:space="preserve"> </v>
      </c>
      <c r="H20" s="25" t="str">
        <f t="shared" ref="H20:H21" si="1">IFERROR(F20*G20," ")</f>
        <v xml:space="preserve"> </v>
      </c>
      <c r="J20" s="23">
        <f>INDEX(Input!$C$21:$AL$25,MATCH('Residential Bills_Yr 3_6 Units'!$A20,Input!$A$21:$A$25,0),MATCH('Residential Bills_Yr 3_6 Units'!J$13,Input!$C$20:$AL$20,0))</f>
        <v>0</v>
      </c>
      <c r="K20" s="24" t="str">
        <f>IF(Input!H99="Tier 4",($B$7-K17-K18-K19),IF(Input!H99="Tier 5",IF(('Residential Bills_Yr 3_6 Units'!$B$7-'Residential Bills_Yr 3_6 Units'!K17-'Residential Bills_Yr 3_6 Units'!K18-'Residential Bills_Yr 3_6 Units'!K19)&gt;Input!H104,Input!H104,('Residential Bills_Yr 3_6 Units'!$B$7-'Residential Bills_Yr 3_6 Units'!K17-'Residential Bills_Yr 3_6 Units'!K18-'Residential Bills_Yr 3_6 Units'!K19))," "))</f>
        <v xml:space="preserve"> </v>
      </c>
      <c r="L20" s="25" t="str">
        <f t="shared" ref="L20:L21" si="2">IFERROR(J20*K20," ")</f>
        <v xml:space="preserve"> </v>
      </c>
      <c r="N20" s="23">
        <f>INDEX(Input!$C$21:$AL$25,MATCH('Residential Bills_Yr 3_6 Units'!$A20,Input!$A$21:$A$25,0),MATCH('Residential Bills_Yr 3_6 Units'!N$13,Input!$C$20:$AL$20,0))</f>
        <v>0</v>
      </c>
      <c r="O20" s="24" t="str">
        <f>IF(Input!I99="Tier 4",($B$7-O17-O18-O19),IF(Input!I99="Tier 5",IF(('Residential Bills_Yr 3_6 Units'!$B$7-'Residential Bills_Yr 3_6 Units'!O17-'Residential Bills_Yr 3_6 Units'!O18-'Residential Bills_Yr 3_6 Units'!O19)&gt;Input!I104,Input!I104,('Residential Bills_Yr 3_6 Units'!$B$7-'Residential Bills_Yr 3_6 Units'!O17-'Residential Bills_Yr 3_6 Units'!O18-'Residential Bills_Yr 3_6 Units'!O19))," "))</f>
        <v xml:space="preserve"> </v>
      </c>
      <c r="P20" s="25" t="str">
        <f t="shared" ref="P20:P21" si="3">IFERROR(N20*O20," ")</f>
        <v xml:space="preserve"> </v>
      </c>
      <c r="R20" s="23">
        <f>INDEX(Input!$C$21:$AL$25,MATCH('Residential Bills_Yr 3_6 Units'!$A20,Input!$A$21:$A$25,0),MATCH('Residential Bills_Yr 3_6 Units'!R$13,Input!$C$20:$AL$20,0))</f>
        <v>0</v>
      </c>
      <c r="S20" s="24" t="str">
        <f>IF(Input!J99="Tier 4",($B$7-S17-S18-S19),IF(Input!J99="Tier 5",IF(('Residential Bills_Yr 3_6 Units'!$B$7-'Residential Bills_Yr 3_6 Units'!S17-'Residential Bills_Yr 3_6 Units'!S18-'Residential Bills_Yr 3_6 Units'!S19)&gt;Input!J104,Input!J104,('Residential Bills_Yr 3_6 Units'!$B$7-'Residential Bills_Yr 3_6 Units'!S17-'Residential Bills_Yr 3_6 Units'!S18-'Residential Bills_Yr 3_6 Units'!S19))," "))</f>
        <v xml:space="preserve"> </v>
      </c>
      <c r="T20" s="25" t="str">
        <f t="shared" ref="T20:T21" si="4">IFERROR(R20*S20," ")</f>
        <v xml:space="preserve"> </v>
      </c>
      <c r="V20" s="23">
        <f>INDEX(Input!$C$21:$AL$25,MATCH('Residential Bills_Yr 3_6 Units'!$A20,Input!$A$21:$A$25,0),MATCH('Residential Bills_Yr 3_6 Units'!V$13,Input!$C$20:$AL$20,0))</f>
        <v>0</v>
      </c>
      <c r="W20" s="24" t="str">
        <f>IF(Input!K99="Tier 4",($B$7-W17-W18-W19),IF(Input!K99="Tier 5",IF(('Residential Bills_Yr 3_6 Units'!$B$7-'Residential Bills_Yr 3_6 Units'!W17-'Residential Bills_Yr 3_6 Units'!W18-'Residential Bills_Yr 3_6 Units'!W19)&gt;Input!K104,Input!K104,('Residential Bills_Yr 3_6 Units'!$B$7-'Residential Bills_Yr 3_6 Units'!W17-'Residential Bills_Yr 3_6 Units'!W18-'Residential Bills_Yr 3_6 Units'!W19))," "))</f>
        <v xml:space="preserve"> </v>
      </c>
      <c r="X20" s="25" t="str">
        <f t="shared" ref="X20:X21" si="5">IFERROR(V20*W20," ")</f>
        <v xml:space="preserve"> </v>
      </c>
      <c r="Z20" s="23">
        <f>INDEX(Input!$C$21:$AL$25,MATCH('Residential Bills_Yr 3_6 Units'!$A20,Input!$A$21:$A$25,0),MATCH('Residential Bills_Yr 3_6 Units'!Z$13,Input!$C$20:$AL$20,0))</f>
        <v>0</v>
      </c>
      <c r="AA20" s="24" t="str">
        <f>IF(Input!L99="Tier 4",($B$7-AA17-AA18-AA19),IF(Input!L99="Tier 5",IF(('Residential Bills_Yr 3_6 Units'!$B$7-'Residential Bills_Yr 3_6 Units'!AA17-'Residential Bills_Yr 3_6 Units'!AA18-'Residential Bills_Yr 3_6 Units'!AA19)&gt;Input!L104,Input!L104,('Residential Bills_Yr 3_6 Units'!$B$7-'Residential Bills_Yr 3_6 Units'!AA17-'Residential Bills_Yr 3_6 Units'!AA18-'Residential Bills_Yr 3_6 Units'!AA19))," "))</f>
        <v xml:space="preserve"> </v>
      </c>
      <c r="AB20" s="25" t="str">
        <f t="shared" ref="AB20:AB21" si="6">IFERROR(Z20*AA20," ")</f>
        <v xml:space="preserve"> </v>
      </c>
      <c r="AD20" s="23">
        <f>INDEX(Input!$C$21:$AL$25,MATCH('Residential Bills_Yr 3_6 Units'!$A20,Input!$A$21:$A$25,0),MATCH('Residential Bills_Yr 3_6 Units'!AD$13,Input!$C$20:$AL$20,0))</f>
        <v>0</v>
      </c>
      <c r="AE20" s="24" t="str">
        <f>IF(Input!M99="Tier 4",($B$7-AE17-AE18-AE19),IF(Input!M99="Tier 5",IF(('Residential Bills_Yr 3_6 Units'!$B$7-'Residential Bills_Yr 3_6 Units'!AE17-'Residential Bills_Yr 3_6 Units'!AE18-'Residential Bills_Yr 3_6 Units'!AE19)&gt;Input!M104,Input!M104,('Residential Bills_Yr 3_6 Units'!$B$7-'Residential Bills_Yr 3_6 Units'!AE17-'Residential Bills_Yr 3_6 Units'!AE18-'Residential Bills_Yr 3_6 Units'!AE19))," "))</f>
        <v xml:space="preserve"> </v>
      </c>
      <c r="AF20" s="25" t="str">
        <f t="shared" ref="AF20:AF21" si="7">IFERROR(AD20*AE20," ")</f>
        <v xml:space="preserve"> </v>
      </c>
      <c r="AH20" s="23">
        <f>INDEX(Input!$C$21:$AL$25,MATCH('Residential Bills_Yr 3_6 Units'!$A20,Input!$A$21:$A$25,0),MATCH('Residential Bills_Yr 3_6 Units'!AH$13,Input!$C$20:$AL$20,0))</f>
        <v>0</v>
      </c>
      <c r="AI20" s="24" t="str">
        <f>IF(Input!N99="Tier 4",($B$7-AI17-AI18-AI19),IF(Input!N99="Tier 5",IF(('Residential Bills_Yr 3_6 Units'!$B$7-'Residential Bills_Yr 3_6 Units'!AI17-'Residential Bills_Yr 3_6 Units'!AI18-'Residential Bills_Yr 3_6 Units'!AI19)&gt;Input!N104,Input!N104,('Residential Bills_Yr 3_6 Units'!$B$7-'Residential Bills_Yr 3_6 Units'!AI17-'Residential Bills_Yr 3_6 Units'!AI18-'Residential Bills_Yr 3_6 Units'!AI19))," "))</f>
        <v xml:space="preserve"> </v>
      </c>
      <c r="AJ20" s="25" t="str">
        <f t="shared" ref="AJ20:AJ21" si="8">IFERROR(AH20*AI20," ")</f>
        <v xml:space="preserve"> </v>
      </c>
      <c r="AL20" s="23">
        <f>INDEX(Input!$C$21:$AL$25,MATCH('Residential Bills_Yr 3_6 Units'!$A20,Input!$A$21:$A$25,0),MATCH('Residential Bills_Yr 3_6 Units'!AL$13,Input!$C$20:$AL$20,0))</f>
        <v>0</v>
      </c>
      <c r="AM20" s="24" t="str">
        <f>IF(Input!O99="Tier 4",($B$7-AM17-AM18-AM19),IF(Input!O99="Tier 5",IF(('Residential Bills_Yr 3_6 Units'!$B$7-'Residential Bills_Yr 3_6 Units'!AM17-'Residential Bills_Yr 3_6 Units'!AM18-'Residential Bills_Yr 3_6 Units'!AM19)&gt;Input!O104,Input!O104,('Residential Bills_Yr 3_6 Units'!$B$7-'Residential Bills_Yr 3_6 Units'!AM17-'Residential Bills_Yr 3_6 Units'!AM18-'Residential Bills_Yr 3_6 Units'!AM19))," "))</f>
        <v xml:space="preserve"> </v>
      </c>
      <c r="AN20" s="25" t="str">
        <f t="shared" ref="AN20:AN21" si="9">IFERROR(AL20*AM20," ")</f>
        <v xml:space="preserve"> </v>
      </c>
      <c r="AP20" s="23">
        <f>INDEX(Input!$C$21:$AL$25,MATCH('Residential Bills_Yr 3_6 Units'!$A20,Input!$A$21:$A$25,0),MATCH('Residential Bills_Yr 3_6 Units'!AP$13,Input!$C$20:$AL$20,0))</f>
        <v>0</v>
      </c>
      <c r="AQ20" s="24" t="str">
        <f>IF(Input!P99="Tier 4",($B$7-AQ17-AQ18-AQ19),IF(Input!P99="Tier 5",IF(('Residential Bills_Yr 3_6 Units'!$B$7-'Residential Bills_Yr 3_6 Units'!AQ17-'Residential Bills_Yr 3_6 Units'!AQ18-'Residential Bills_Yr 3_6 Units'!AQ19)&gt;Input!P104,Input!P104,('Residential Bills_Yr 3_6 Units'!$B$7-'Residential Bills_Yr 3_6 Units'!AQ17-'Residential Bills_Yr 3_6 Units'!AQ18-'Residential Bills_Yr 3_6 Units'!AQ19))," "))</f>
        <v xml:space="preserve"> </v>
      </c>
      <c r="AR20" s="25" t="str">
        <f t="shared" ref="AR20:AR21" si="10">IFERROR(AP20*AQ20," ")</f>
        <v xml:space="preserve"> </v>
      </c>
      <c r="AS20" s="30"/>
      <c r="AT20" s="23">
        <f>INDEX(Input!$C$21:$AL$25,MATCH('Residential Bills_Yr 3_6 Units'!$A20,Input!$A$21:$A$25,0),MATCH('Residential Bills_Yr 3_6 Units'!AT$13,Input!$C$20:$AL$20,0))</f>
        <v>0</v>
      </c>
      <c r="AU20" s="24" t="str">
        <f>IF(Input!Q99="Tier 4",($B$7-AU17-AU18-AU19),IF(Input!Q99="Tier 5",IF(('Residential Bills_Yr 3_6 Units'!$B$7-'Residential Bills_Yr 3_6 Units'!AU17-'Residential Bills_Yr 3_6 Units'!AU18-'Residential Bills_Yr 3_6 Units'!AU19)&gt;Input!Q104,Input!Q104,('Residential Bills_Yr 3_6 Units'!$B$7-'Residential Bills_Yr 3_6 Units'!AU17-'Residential Bills_Yr 3_6 Units'!AU18-'Residential Bills_Yr 3_6 Units'!AU19))," "))</f>
        <v xml:space="preserve"> </v>
      </c>
      <c r="AV20" s="25" t="str">
        <f t="shared" ref="AV20:AV21" si="11">IFERROR(AT20*AU20," ")</f>
        <v xml:space="preserve"> </v>
      </c>
    </row>
    <row r="21" spans="1:48" ht="14.5" hidden="1" customHeight="1" x14ac:dyDescent="0.55000000000000004">
      <c r="A21" t="str">
        <f>Input!A25</f>
        <v>Tier 5</v>
      </c>
      <c r="B21" s="23">
        <f>INDEX(Input!$C$21:$AL$25,MATCH('Residential Bills_Yr 3_6 Units'!$A21,Input!$A$21:$A$25,0),MATCH('Residential Bills_Yr 3_6 Units'!B$13,Input!$C$20:$AL$20,0))</f>
        <v>0</v>
      </c>
      <c r="C21" s="24" t="str">
        <f>IF(Input!F99="Tier 5",('Residential Bills_Yr 3_6 Units'!$B$7-'Residential Bills_Yr 3_6 Units'!C17-'Residential Bills_Yr 3_6 Units'!C18-'Residential Bills_Yr 3_6 Units'!C19-'Residential Bills_Yr 3_6 Units'!C20)," ")</f>
        <v xml:space="preserve"> </v>
      </c>
      <c r="D21" s="25" t="str">
        <f t="shared" si="0"/>
        <v xml:space="preserve"> </v>
      </c>
      <c r="F21" s="23">
        <f>INDEX(Input!$C$21:$AL$25,MATCH('Residential Bills_Yr 3_6 Units'!$A21,Input!$A$21:$A$25,0),MATCH('Residential Bills_Yr 3_6 Units'!F$13,Input!$C$20:$AL$20,0))</f>
        <v>0</v>
      </c>
      <c r="G21" s="24" t="str">
        <f>IF(Input!G99="Tier 5",('Residential Bills_Yr 3_6 Units'!$B$7-'Residential Bills_Yr 3_6 Units'!G17-'Residential Bills_Yr 3_6 Units'!G18-'Residential Bills_Yr 3_6 Units'!G19-'Residential Bills_Yr 3_6 Units'!G20)," ")</f>
        <v xml:space="preserve"> </v>
      </c>
      <c r="H21" s="25" t="str">
        <f t="shared" si="1"/>
        <v xml:space="preserve"> </v>
      </c>
      <c r="J21" s="23">
        <f>INDEX(Input!$C$21:$AL$25,MATCH('Residential Bills_Yr 3_6 Units'!$A21,Input!$A$21:$A$25,0),MATCH('Residential Bills_Yr 3_6 Units'!J$13,Input!$C$20:$AL$20,0))</f>
        <v>0</v>
      </c>
      <c r="K21" s="24" t="str">
        <f>IF(Input!H99="Tier 5",('Residential Bills_Yr 3_6 Units'!$B$7-'Residential Bills_Yr 3_6 Units'!K$17-'Residential Bills_Yr 3_6 Units'!K$18-'Residential Bills_Yr 3_6 Units'!K$19-'Residential Bills_Yr 3_6 Units'!K$20)," ")</f>
        <v xml:space="preserve"> </v>
      </c>
      <c r="L21" s="25" t="str">
        <f t="shared" si="2"/>
        <v xml:space="preserve"> </v>
      </c>
      <c r="N21" s="23">
        <f>INDEX(Input!$C$21:$AL$25,MATCH('Residential Bills_Yr 3_6 Units'!$A21,Input!$A$21:$A$25,0),MATCH('Residential Bills_Yr 3_6 Units'!N$13,Input!$C$20:$AL$20,0))</f>
        <v>0</v>
      </c>
      <c r="O21" s="24" t="str">
        <f>IF(Input!I99="Tier 5",('Residential Bills_Yr 3_6 Units'!$B$7-'Residential Bills_Yr 3_6 Units'!O$17-'Residential Bills_Yr 3_6 Units'!O$18-'Residential Bills_Yr 3_6 Units'!O$19-'Residential Bills_Yr 3_6 Units'!O$20)," ")</f>
        <v xml:space="preserve"> </v>
      </c>
      <c r="P21" s="25" t="str">
        <f t="shared" si="3"/>
        <v xml:space="preserve"> </v>
      </c>
      <c r="R21" s="23">
        <f>INDEX(Input!$C$21:$AL$25,MATCH('Residential Bills_Yr 3_6 Units'!$A21,Input!$A$21:$A$25,0),MATCH('Residential Bills_Yr 3_6 Units'!R$13,Input!$C$20:$AL$20,0))</f>
        <v>0</v>
      </c>
      <c r="S21" s="24" t="str">
        <f>IF(Input!J99="Tier 5",('Residential Bills_Yr 3_6 Units'!$B$7-'Residential Bills_Yr 3_6 Units'!S$17-'Residential Bills_Yr 3_6 Units'!S$18-'Residential Bills_Yr 3_6 Units'!S$19-'Residential Bills_Yr 3_6 Units'!S$20)," ")</f>
        <v xml:space="preserve"> </v>
      </c>
      <c r="T21" s="25" t="str">
        <f t="shared" si="4"/>
        <v xml:space="preserve"> </v>
      </c>
      <c r="V21" s="23">
        <f>INDEX(Input!$C$21:$AL$25,MATCH('Residential Bills_Yr 3_6 Units'!$A21,Input!$A$21:$A$25,0),MATCH('Residential Bills_Yr 3_6 Units'!V$13,Input!$C$20:$AL$20,0))</f>
        <v>0</v>
      </c>
      <c r="W21" s="24" t="str">
        <f>IF(Input!K99="Tier 5",('Residential Bills_Yr 3_6 Units'!$B$7-'Residential Bills_Yr 3_6 Units'!W$17-'Residential Bills_Yr 3_6 Units'!W$18-'Residential Bills_Yr 3_6 Units'!W$19-'Residential Bills_Yr 3_6 Units'!W$20)," ")</f>
        <v xml:space="preserve"> </v>
      </c>
      <c r="X21" s="25" t="str">
        <f t="shared" si="5"/>
        <v xml:space="preserve"> </v>
      </c>
      <c r="Z21" s="23">
        <f>INDEX(Input!$C$21:$AL$25,MATCH('Residential Bills_Yr 3_6 Units'!$A21,Input!$A$21:$A$25,0),MATCH('Residential Bills_Yr 3_6 Units'!Z$13,Input!$C$20:$AL$20,0))</f>
        <v>0</v>
      </c>
      <c r="AA21" s="24" t="str">
        <f>IF(Input!L99="Tier 5",('Residential Bills_Yr 3_6 Units'!$B$7-'Residential Bills_Yr 3_6 Units'!AA$17-'Residential Bills_Yr 3_6 Units'!AA$18-'Residential Bills_Yr 3_6 Units'!AA$19-'Residential Bills_Yr 3_6 Units'!AA$20)," ")</f>
        <v xml:space="preserve"> </v>
      </c>
      <c r="AB21" s="25" t="str">
        <f t="shared" si="6"/>
        <v xml:space="preserve"> </v>
      </c>
      <c r="AD21" s="23">
        <f>INDEX(Input!$C$21:$AL$25,MATCH('Residential Bills_Yr 3_6 Units'!$A21,Input!$A$21:$A$25,0),MATCH('Residential Bills_Yr 3_6 Units'!AD$13,Input!$C$20:$AL$20,0))</f>
        <v>0</v>
      </c>
      <c r="AE21" s="24" t="str">
        <f>IF(Input!M99="Tier 5",('Residential Bills_Yr 3_6 Units'!$B$7-'Residential Bills_Yr 3_6 Units'!AE$17-'Residential Bills_Yr 3_6 Units'!AE$18-'Residential Bills_Yr 3_6 Units'!AE$19-'Residential Bills_Yr 3_6 Units'!AE$20)," ")</f>
        <v xml:space="preserve"> </v>
      </c>
      <c r="AF21" s="25" t="str">
        <f t="shared" si="7"/>
        <v xml:space="preserve"> </v>
      </c>
      <c r="AH21" s="23">
        <f>INDEX(Input!$C$21:$AL$25,MATCH('Residential Bills_Yr 3_6 Units'!$A21,Input!$A$21:$A$25,0),MATCH('Residential Bills_Yr 3_6 Units'!AH$13,Input!$C$20:$AL$20,0))</f>
        <v>0</v>
      </c>
      <c r="AI21" s="24" t="str">
        <f>IF(Input!N99="Tier 5",('Residential Bills_Yr 3_6 Units'!$B$7-'Residential Bills_Yr 3_6 Units'!AI$17-'Residential Bills_Yr 3_6 Units'!AI$18-'Residential Bills_Yr 3_6 Units'!AI$19-'Residential Bills_Yr 3_6 Units'!AI$20)," ")</f>
        <v xml:space="preserve"> </v>
      </c>
      <c r="AJ21" s="25" t="str">
        <f t="shared" si="8"/>
        <v xml:space="preserve"> </v>
      </c>
      <c r="AL21" s="23">
        <f>INDEX(Input!$C$21:$AL$25,MATCH('Residential Bills_Yr 3_6 Units'!$A21,Input!$A$21:$A$25,0),MATCH('Residential Bills_Yr 3_6 Units'!AL$13,Input!$C$20:$AL$20,0))</f>
        <v>0</v>
      </c>
      <c r="AM21" s="24" t="str">
        <f>IF(Input!O99="Tier 5",('Residential Bills_Yr 3_6 Units'!$B$7-'Residential Bills_Yr 3_6 Units'!AM$17-'Residential Bills_Yr 3_6 Units'!AM$18-'Residential Bills_Yr 3_6 Units'!AM$19-'Residential Bills_Yr 3_6 Units'!AM$20)," ")</f>
        <v xml:space="preserve"> </v>
      </c>
      <c r="AN21" s="25" t="str">
        <f t="shared" si="9"/>
        <v xml:space="preserve"> </v>
      </c>
      <c r="AP21" s="23">
        <f>INDEX(Input!$C$21:$AL$25,MATCH('Residential Bills_Yr 3_6 Units'!$A21,Input!$A$21:$A$25,0),MATCH('Residential Bills_Yr 3_6 Units'!AP$13,Input!$C$20:$AL$20,0))</f>
        <v>0</v>
      </c>
      <c r="AQ21" s="24" t="str">
        <f>IF(Input!P99="Tier 5",('Residential Bills_Yr 3_6 Units'!$B$7-'Residential Bills_Yr 3_6 Units'!AQ$17-'Residential Bills_Yr 3_6 Units'!AQ$18-'Residential Bills_Yr 3_6 Units'!AQ$19-'Residential Bills_Yr 3_6 Units'!AQ$20)," ")</f>
        <v xml:space="preserve"> </v>
      </c>
      <c r="AR21" s="25" t="str">
        <f t="shared" si="10"/>
        <v xml:space="preserve"> </v>
      </c>
      <c r="AS21" s="30"/>
      <c r="AT21" s="23">
        <f>INDEX(Input!$C$21:$AL$25,MATCH('Residential Bills_Yr 3_6 Units'!$A21,Input!$A$21:$A$25,0),MATCH('Residential Bills_Yr 3_6 Units'!AT$13,Input!$C$20:$AL$20,0))</f>
        <v>0</v>
      </c>
      <c r="AU21" s="24" t="str">
        <f>IF(Input!Q99="Tier 5",('Residential Bills_Yr 3_6 Units'!$B$7-'Residential Bills_Yr 3_6 Units'!AU$17-'Residential Bills_Yr 3_6 Units'!AU$18-'Residential Bills_Yr 3_6 Units'!AU$19-'Residential Bills_Yr 3_6 Units'!AU$20)," ")</f>
        <v xml:space="preserve"> </v>
      </c>
      <c r="AV21" s="25" t="str">
        <f t="shared" si="11"/>
        <v xml:space="preserve"> </v>
      </c>
    </row>
    <row r="22" spans="1:48" x14ac:dyDescent="0.55000000000000004">
      <c r="A22" t="s">
        <v>39</v>
      </c>
      <c r="B22" s="16"/>
      <c r="C22" s="24">
        <f>SUM(C17:C21)</f>
        <v>6</v>
      </c>
      <c r="D22" s="26">
        <f>SUM(D17:D21)+D14</f>
        <v>80.484772356597574</v>
      </c>
      <c r="F22" s="16"/>
      <c r="G22" s="24">
        <f>SUM(G17:G21)</f>
        <v>6</v>
      </c>
      <c r="H22" s="26">
        <f>SUM(H17:H21)+H14</f>
        <v>80.484772356597574</v>
      </c>
      <c r="J22" s="16"/>
      <c r="K22" s="24">
        <f>SUM(K17:K21)</f>
        <v>6</v>
      </c>
      <c r="L22" s="26">
        <f>SUM(L17:L21)+L14</f>
        <v>80.484772356597574</v>
      </c>
      <c r="N22" s="16"/>
      <c r="O22" s="24">
        <f>SUM(O17:O21)</f>
        <v>6</v>
      </c>
      <c r="P22" s="26">
        <f>SUM(P17:P21)+P14</f>
        <v>80.484772356597574</v>
      </c>
      <c r="R22" s="16"/>
      <c r="S22" s="24">
        <f>SUM(S17:S21)</f>
        <v>6</v>
      </c>
      <c r="T22" s="26">
        <f>SUM(T17:T21)+T14</f>
        <v>80.484772356597574</v>
      </c>
      <c r="V22" s="16"/>
      <c r="W22" s="24">
        <f>SUM(W17:W21)</f>
        <v>6</v>
      </c>
      <c r="X22" s="26">
        <f>SUM(X17:X21)+X14</f>
        <v>80.484772356597574</v>
      </c>
      <c r="Z22" s="16"/>
      <c r="AA22" s="24">
        <f>SUM(AA17:AA21)</f>
        <v>6</v>
      </c>
      <c r="AB22" s="26">
        <f>SUM(AB17:AB21)+AB14</f>
        <v>80.484772356597574</v>
      </c>
      <c r="AD22" s="16"/>
      <c r="AE22" s="24">
        <f>SUM(AE17:AE21)</f>
        <v>6</v>
      </c>
      <c r="AF22" s="26">
        <f>SUM(AF17:AF21)+AF14</f>
        <v>80.484772356597574</v>
      </c>
      <c r="AH22" s="16"/>
      <c r="AI22" s="24">
        <f>SUM(AI17:AI21)</f>
        <v>6</v>
      </c>
      <c r="AJ22" s="26">
        <f>SUM(AJ17:AJ21)+AJ14</f>
        <v>80.484772356597574</v>
      </c>
      <c r="AL22" s="16"/>
      <c r="AM22" s="24">
        <f>SUM(AM17:AM21)</f>
        <v>6</v>
      </c>
      <c r="AN22" s="26">
        <f>SUM(AN17:AN21)+AN14</f>
        <v>80.484772356597574</v>
      </c>
      <c r="AP22" s="16"/>
      <c r="AQ22" s="24">
        <f>SUM(AQ17:AQ21)</f>
        <v>6</v>
      </c>
      <c r="AR22" s="26">
        <f>SUM(AR17:AR21)+AR14</f>
        <v>80.484772356597574</v>
      </c>
      <c r="AS22" s="64"/>
      <c r="AT22" s="16"/>
      <c r="AU22" s="24">
        <f>SUM(AU17:AU21)</f>
        <v>6</v>
      </c>
      <c r="AV22" s="26">
        <f>SUM(AV17:AV21)+AV14</f>
        <v>80.484772356597574</v>
      </c>
    </row>
    <row r="23" spans="1:48" x14ac:dyDescent="0.55000000000000004">
      <c r="B23" s="16"/>
      <c r="C23" s="17"/>
      <c r="D23" s="19"/>
      <c r="F23" s="16"/>
      <c r="G23" s="17"/>
      <c r="H23" s="19"/>
      <c r="J23" s="16"/>
      <c r="K23" s="17"/>
      <c r="L23" s="19"/>
      <c r="N23" s="16"/>
      <c r="O23" s="17"/>
      <c r="P23" s="19"/>
      <c r="R23" s="16"/>
      <c r="S23" s="17"/>
      <c r="T23" s="19"/>
      <c r="V23" s="16"/>
      <c r="W23" s="17"/>
      <c r="X23" s="19"/>
      <c r="Z23" s="16"/>
      <c r="AA23" s="17"/>
      <c r="AB23" s="19"/>
      <c r="AD23" s="16"/>
      <c r="AE23" s="17"/>
      <c r="AF23" s="19"/>
      <c r="AH23" s="16"/>
      <c r="AI23" s="17"/>
      <c r="AJ23" s="19"/>
      <c r="AL23" s="16"/>
      <c r="AM23" s="17"/>
      <c r="AN23" s="19"/>
      <c r="AP23" s="16"/>
      <c r="AQ23" s="17"/>
      <c r="AR23" s="19"/>
      <c r="AS23" s="17"/>
      <c r="AT23" s="16"/>
      <c r="AU23" s="17"/>
      <c r="AV23" s="19"/>
    </row>
    <row r="24" spans="1:48" x14ac:dyDescent="0.55000000000000004">
      <c r="A24" s="1" t="s">
        <v>34</v>
      </c>
      <c r="B24" s="20" t="s">
        <v>29</v>
      </c>
      <c r="C24" s="21" t="s">
        <v>44</v>
      </c>
      <c r="D24" s="22" t="s">
        <v>30</v>
      </c>
      <c r="F24" s="20" t="s">
        <v>29</v>
      </c>
      <c r="G24" s="21" t="s">
        <v>44</v>
      </c>
      <c r="H24" s="111" t="s">
        <v>30</v>
      </c>
      <c r="J24" s="20" t="s">
        <v>29</v>
      </c>
      <c r="K24" s="21" t="s">
        <v>44</v>
      </c>
      <c r="L24" s="111" t="s">
        <v>30</v>
      </c>
      <c r="N24" s="20" t="s">
        <v>29</v>
      </c>
      <c r="O24" s="21" t="s">
        <v>44</v>
      </c>
      <c r="P24" s="111" t="s">
        <v>30</v>
      </c>
      <c r="R24" s="20" t="s">
        <v>29</v>
      </c>
      <c r="S24" s="21" t="s">
        <v>44</v>
      </c>
      <c r="T24" s="111" t="s">
        <v>30</v>
      </c>
      <c r="V24" s="20" t="s">
        <v>29</v>
      </c>
      <c r="W24" s="21" t="s">
        <v>44</v>
      </c>
      <c r="X24" s="111" t="s">
        <v>30</v>
      </c>
      <c r="Z24" s="20" t="s">
        <v>29</v>
      </c>
      <c r="AA24" s="21" t="s">
        <v>44</v>
      </c>
      <c r="AB24" s="111" t="s">
        <v>30</v>
      </c>
      <c r="AD24" s="20" t="s">
        <v>29</v>
      </c>
      <c r="AE24" s="21" t="s">
        <v>44</v>
      </c>
      <c r="AF24" s="111" t="s">
        <v>30</v>
      </c>
      <c r="AH24" s="20" t="s">
        <v>29</v>
      </c>
      <c r="AI24" s="21" t="s">
        <v>44</v>
      </c>
      <c r="AJ24" s="111" t="s">
        <v>30</v>
      </c>
      <c r="AL24" s="20" t="s">
        <v>29</v>
      </c>
      <c r="AM24" s="21" t="s">
        <v>44</v>
      </c>
      <c r="AN24" s="111" t="s">
        <v>30</v>
      </c>
      <c r="AP24" s="20" t="s">
        <v>29</v>
      </c>
      <c r="AQ24" s="21" t="s">
        <v>44</v>
      </c>
      <c r="AR24" s="111" t="s">
        <v>30</v>
      </c>
      <c r="AS24" s="170"/>
      <c r="AT24" s="20" t="s">
        <v>29</v>
      </c>
      <c r="AU24" s="21" t="s">
        <v>44</v>
      </c>
      <c r="AV24" s="111" t="s">
        <v>30</v>
      </c>
    </row>
    <row r="25" spans="1:48" x14ac:dyDescent="0.55000000000000004">
      <c r="A25" t="str">
        <f>IF($B$9="No",Input!A46,"CAP Discount")</f>
        <v>SRF 1</v>
      </c>
      <c r="B25" s="173">
        <f>INDEX(Input!$C$46:$AM$58,MATCH($A25,Input!$A$46:$A$58,0),MATCH(B$13,Input!$C$45:$AM$45,0))</f>
        <v>0.04</v>
      </c>
      <c r="C25" s="31" t="str">
        <f>IF(VLOOKUP($A25,Input!$A$46:$B$58,2,FALSE)="Percentage",D$22,IF(VLOOKUP($A25,Input!$A$46:$B$58,2,FALSE)="Fixed","Fixed",(C$22)))</f>
        <v>Fixed</v>
      </c>
      <c r="D25" s="25">
        <f t="shared" ref="D25:D37" si="12">ROUND(IF(C25="Fixed",B25,(B25*C25)),2)</f>
        <v>0.04</v>
      </c>
      <c r="F25" s="173">
        <f>INDEX(Input!$C$46:$AM$58,MATCH($A25,Input!$A$46:$A$58,0),MATCH(F$13,Input!$C$45:$AM$45,0))</f>
        <v>0.04</v>
      </c>
      <c r="G25" s="31" t="str">
        <f>IF(VLOOKUP($A25,Input!$A$46:$B$58,2,FALSE)="Percentage",H$22,IF(VLOOKUP($A25,Input!$A$46:$B$58,2,FALSE)="Fixed","Fixed",(G$22)))</f>
        <v>Fixed</v>
      </c>
      <c r="H25" s="25">
        <f t="shared" ref="H25:H37" si="13">ROUND(IF(G25="Fixed",F25,(F25*G25)),2)</f>
        <v>0.04</v>
      </c>
      <c r="J25" s="173">
        <f>INDEX(Input!$C$46:$AM$58,MATCH($A25,Input!$A$46:$A$58,0),MATCH(J$13,Input!$C$45:$AM$45,0))</f>
        <v>0.04</v>
      </c>
      <c r="K25" s="31" t="str">
        <f>IF(VLOOKUP($A25,Input!$A$46:$B$58,2,FALSE)="Percentage",L$22,IF(VLOOKUP($A25,Input!$A$46:$B$58,2,FALSE)="Fixed","Fixed",(K$22)))</f>
        <v>Fixed</v>
      </c>
      <c r="L25" s="25">
        <f t="shared" ref="L25:L37" si="14">ROUND(IF(K25="Fixed",J25,(J25*K25)),2)</f>
        <v>0.04</v>
      </c>
      <c r="N25" s="173">
        <f>INDEX(Input!$C$46:$AM$58,MATCH($A25,Input!$A$46:$A$58,0),MATCH(N$13,Input!$C$45:$AM$45,0))</f>
        <v>0.04</v>
      </c>
      <c r="O25" s="31" t="str">
        <f>IF(VLOOKUP($A25,Input!$A$46:$B$58,2,FALSE)="Percentage",P$22,IF(VLOOKUP($A25,Input!$A$46:$B$58,2,FALSE)="Fixed","Fixed",(O$22)))</f>
        <v>Fixed</v>
      </c>
      <c r="P25" s="25">
        <f t="shared" ref="P25:P37" si="15">ROUND(IF(O25="Fixed",N25,(N25*O25)),2)</f>
        <v>0.04</v>
      </c>
      <c r="R25" s="173">
        <f>INDEX(Input!$C$46:$AM$58,MATCH($A25,Input!$A$46:$A$58,0),MATCH(R$13,Input!$C$45:$AM$45,0))</f>
        <v>0.04</v>
      </c>
      <c r="S25" s="31" t="str">
        <f>IF(VLOOKUP($A25,Input!$A$46:$B$58,2,FALSE)="Percentage",T$22,IF(VLOOKUP($A25,Input!$A$46:$B$58,2,FALSE)="Fixed","Fixed",(S$22)))</f>
        <v>Fixed</v>
      </c>
      <c r="T25" s="25">
        <f t="shared" ref="T25:T37" si="16">ROUND(IF(S25="Fixed",R25,(R25*S25)),2)</f>
        <v>0.04</v>
      </c>
      <c r="V25" s="173">
        <f>INDEX(Input!$C$46:$AM$58,MATCH($A25,Input!$A$46:$A$58,0),MATCH(V$13,Input!$C$45:$AM$45,0))</f>
        <v>0.04</v>
      </c>
      <c r="W25" s="31" t="str">
        <f>IF(VLOOKUP($A25,Input!$A$46:$B$58,2,FALSE)="Percentage",X$22,IF(VLOOKUP($A25,Input!$A$46:$B$58,2,FALSE)="Fixed","Fixed",(W$22)))</f>
        <v>Fixed</v>
      </c>
      <c r="X25" s="25">
        <f t="shared" ref="X25:X37" si="17">ROUND(IF(W25="Fixed",V25,(V25*W25)),2)</f>
        <v>0.04</v>
      </c>
      <c r="Z25" s="173">
        <f>INDEX(Input!$C$46:$AM$58,MATCH($A25,Input!$A$46:$A$58,0),MATCH(Z$13,Input!$C$45:$AM$45,0))</f>
        <v>0.04</v>
      </c>
      <c r="AA25" s="31" t="str">
        <f>IF(VLOOKUP($A25,Input!$A$46:$B$58,2,FALSE)="Percentage",AB$22,IF(VLOOKUP($A25,Input!$A$46:$B$58,2,FALSE)="Fixed","Fixed",(AA$22)))</f>
        <v>Fixed</v>
      </c>
      <c r="AB25" s="25">
        <f t="shared" ref="AB25:AB37" si="18">ROUND(IF(AA25="Fixed",Z25,(Z25*AA25)),2)</f>
        <v>0.04</v>
      </c>
      <c r="AD25" s="173">
        <f>INDEX(Input!$C$46:$AM$58,MATCH($A25,Input!$A$46:$A$58,0),MATCH(AD$13,Input!$C$45:$AM$45,0))</f>
        <v>0.04</v>
      </c>
      <c r="AE25" s="31" t="str">
        <f>IF(VLOOKUP($A25,Input!$A$46:$B$58,2,FALSE)="Percentage",AF$22,IF(VLOOKUP($A25,Input!$A$46:$B$58,2,FALSE)="Fixed","Fixed",(AE$22)))</f>
        <v>Fixed</v>
      </c>
      <c r="AF25" s="25">
        <f t="shared" ref="AF25:AF37" si="19">ROUND(IF(AE25="Fixed",AD25,(AD25*AE25)),2)</f>
        <v>0.04</v>
      </c>
      <c r="AH25" s="173">
        <f>INDEX(Input!$C$46:$AM$58,MATCH($A25,Input!$A$46:$A$58,0),MATCH(AH$13,Input!$C$45:$AM$45,0))</f>
        <v>0.04</v>
      </c>
      <c r="AI25" s="31" t="str">
        <f>IF(VLOOKUP($A25,Input!$A$46:$B$58,2,FALSE)="Percentage",AJ$22,IF(VLOOKUP($A25,Input!$A$46:$B$58,2,FALSE)="Fixed","Fixed",(AI$22)))</f>
        <v>Fixed</v>
      </c>
      <c r="AJ25" s="25">
        <f t="shared" ref="AJ25:AJ37" si="20">ROUND(IF(AI25="Fixed",AH25,(AH25*AI25)),2)</f>
        <v>0.04</v>
      </c>
      <c r="AL25" s="173">
        <f>INDEX(Input!$C$46:$AM$58,MATCH($A25,Input!$A$46:$A$58,0),MATCH(AL$13,Input!$C$45:$AM$45,0))</f>
        <v>0.04</v>
      </c>
      <c r="AM25" s="31" t="str">
        <f>IF(VLOOKUP($A25,Input!$A$46:$B$58,2,FALSE)="Percentage",AN$22,IF(VLOOKUP($A25,Input!$A$46:$B$58,2,FALSE)="Fixed","Fixed",(AM$22)))</f>
        <v>Fixed</v>
      </c>
      <c r="AN25" s="25">
        <f t="shared" ref="AN25:AN37" si="21">ROUND(IF(AM25="Fixed",AL25,(AL25*AM25)),2)</f>
        <v>0.04</v>
      </c>
      <c r="AP25" s="173">
        <f>INDEX(Input!$C$46:$AM$58,MATCH($A25,Input!$A$46:$A$58,0),MATCH(AP$13,Input!$C$45:$AM$45,0))</f>
        <v>0.04</v>
      </c>
      <c r="AQ25" s="31" t="str">
        <f>IF(VLOOKUP($A25,Input!$A$46:$B$58,2,FALSE)="Percentage",AR$22,IF(VLOOKUP($A25,Input!$A$46:$B$58,2,FALSE)="Fixed","Fixed",(AQ$22)))</f>
        <v>Fixed</v>
      </c>
      <c r="AR25" s="25">
        <f t="shared" ref="AR25:AR37" si="22">ROUND(IF(AQ25="Fixed",AP25,(AP25*AQ25)),2)</f>
        <v>0.04</v>
      </c>
      <c r="AS25" s="30"/>
      <c r="AT25" s="173">
        <f>INDEX(Input!$C$46:$AM$58,MATCH($A25,Input!$A$46:$A$58,0),MATCH(AT$13,Input!$C$45:$AM$45,0))</f>
        <v>0.04</v>
      </c>
      <c r="AU25" s="31" t="str">
        <f>IF(VLOOKUP($A25,Input!$A$46:$B$58,2,FALSE)="Percentage",AV$22,IF(VLOOKUP($A25,Input!$A$46:$B$58,2,FALSE)="Fixed","Fixed",(AU$22)))</f>
        <v>Fixed</v>
      </c>
      <c r="AV25" s="25">
        <f t="shared" ref="AV25:AV37" si="23">ROUND(IF(AU25="Fixed",AT25,(AT25*AU25)),2)</f>
        <v>0.04</v>
      </c>
    </row>
    <row r="26" spans="1:48" x14ac:dyDescent="0.55000000000000004">
      <c r="A26" t="str">
        <f>Input!A47</f>
        <v>SRF 2</v>
      </c>
      <c r="B26" s="173">
        <f>INDEX(Input!$C$46:$AM$58,MATCH($A26,Input!$A$46:$A$58,0),MATCH(B$13,Input!$C$45:$AM$45,0))</f>
        <v>0.02</v>
      </c>
      <c r="C26" s="31" t="str">
        <f>IF(VLOOKUP($A26,Input!$A$46:$B$58,2,FALSE)="Percentage",D$22,IF(VLOOKUP($A26,Input!$A$46:$B$58,2,FALSE)="Fixed","Fixed",(C$22)))</f>
        <v>Fixed</v>
      </c>
      <c r="D26" s="25">
        <f t="shared" si="12"/>
        <v>0.02</v>
      </c>
      <c r="F26" s="173">
        <f>INDEX(Input!$C$46:$AM$58,MATCH($A26,Input!$A$46:$A$58,0),MATCH(F$13,Input!$C$45:$AM$45,0))</f>
        <v>0.02</v>
      </c>
      <c r="G26" s="31" t="str">
        <f>IF(VLOOKUP($A26,Input!$A$46:$B$58,2,FALSE)="Percentage",H$22,IF(VLOOKUP($A26,Input!$A$46:$B$58,2,FALSE)="Fixed","Fixed",(G$22)))</f>
        <v>Fixed</v>
      </c>
      <c r="H26" s="25">
        <f t="shared" si="13"/>
        <v>0.02</v>
      </c>
      <c r="J26" s="173">
        <f>INDEX(Input!$C$46:$AM$58,MATCH($A26,Input!$A$46:$A$58,0),MATCH(J$13,Input!$C$45:$AM$45,0))</f>
        <v>0.02</v>
      </c>
      <c r="K26" s="31" t="str">
        <f>IF(VLOOKUP($A26,Input!$A$46:$B$58,2,FALSE)="Percentage",L$22,IF(VLOOKUP($A26,Input!$A$46:$B$58,2,FALSE)="Fixed","Fixed",(K$22)))</f>
        <v>Fixed</v>
      </c>
      <c r="L26" s="25">
        <f t="shared" si="14"/>
        <v>0.02</v>
      </c>
      <c r="N26" s="173">
        <f>INDEX(Input!$C$46:$AM$58,MATCH($A26,Input!$A$46:$A$58,0),MATCH(N$13,Input!$C$45:$AM$45,0))</f>
        <v>0.02</v>
      </c>
      <c r="O26" s="31" t="str">
        <f>IF(VLOOKUP($A26,Input!$A$46:$B$58,2,FALSE)="Percentage",P$22,IF(VLOOKUP($A26,Input!$A$46:$B$58,2,FALSE)="Fixed","Fixed",(O$22)))</f>
        <v>Fixed</v>
      </c>
      <c r="P26" s="25">
        <f t="shared" si="15"/>
        <v>0.02</v>
      </c>
      <c r="R26" s="173">
        <f>INDEX(Input!$C$46:$AM$58,MATCH($A26,Input!$A$46:$A$58,0),MATCH(R$13,Input!$C$45:$AM$45,0))</f>
        <v>0.02</v>
      </c>
      <c r="S26" s="31" t="str">
        <f>IF(VLOOKUP($A26,Input!$A$46:$B$58,2,FALSE)="Percentage",T$22,IF(VLOOKUP($A26,Input!$A$46:$B$58,2,FALSE)="Fixed","Fixed",(S$22)))</f>
        <v>Fixed</v>
      </c>
      <c r="T26" s="25">
        <f t="shared" si="16"/>
        <v>0.02</v>
      </c>
      <c r="V26" s="173">
        <f>INDEX(Input!$C$46:$AM$58,MATCH($A26,Input!$A$46:$A$58,0),MATCH(V$13,Input!$C$45:$AM$45,0))</f>
        <v>0.02</v>
      </c>
      <c r="W26" s="31" t="str">
        <f>IF(VLOOKUP($A26,Input!$A$46:$B$58,2,FALSE)="Percentage",X$22,IF(VLOOKUP($A26,Input!$A$46:$B$58,2,FALSE)="Fixed","Fixed",(W$22)))</f>
        <v>Fixed</v>
      </c>
      <c r="X26" s="25">
        <f t="shared" si="17"/>
        <v>0.02</v>
      </c>
      <c r="Z26" s="173">
        <f>INDEX(Input!$C$46:$AM$58,MATCH($A26,Input!$A$46:$A$58,0),MATCH(Z$13,Input!$C$45:$AM$45,0))</f>
        <v>0.02</v>
      </c>
      <c r="AA26" s="31" t="str">
        <f>IF(VLOOKUP($A26,Input!$A$46:$B$58,2,FALSE)="Percentage",AB$22,IF(VLOOKUP($A26,Input!$A$46:$B$58,2,FALSE)="Fixed","Fixed",(AA$22)))</f>
        <v>Fixed</v>
      </c>
      <c r="AB26" s="25">
        <f t="shared" si="18"/>
        <v>0.02</v>
      </c>
      <c r="AD26" s="173">
        <f>INDEX(Input!$C$46:$AM$58,MATCH($A26,Input!$A$46:$A$58,0),MATCH(AD$13,Input!$C$45:$AM$45,0))</f>
        <v>0.02</v>
      </c>
      <c r="AE26" s="31" t="str">
        <f>IF(VLOOKUP($A26,Input!$A$46:$B$58,2,FALSE)="Percentage",AF$22,IF(VLOOKUP($A26,Input!$A$46:$B$58,2,FALSE)="Fixed","Fixed",(AE$22)))</f>
        <v>Fixed</v>
      </c>
      <c r="AF26" s="25">
        <f t="shared" si="19"/>
        <v>0.02</v>
      </c>
      <c r="AH26" s="173">
        <f>INDEX(Input!$C$46:$AM$58,MATCH($A26,Input!$A$46:$A$58,0),MATCH(AH$13,Input!$C$45:$AM$45,0))</f>
        <v>0.02</v>
      </c>
      <c r="AI26" s="31" t="str">
        <f>IF(VLOOKUP($A26,Input!$A$46:$B$58,2,FALSE)="Percentage",AJ$22,IF(VLOOKUP($A26,Input!$A$46:$B$58,2,FALSE)="Fixed","Fixed",(AI$22)))</f>
        <v>Fixed</v>
      </c>
      <c r="AJ26" s="25">
        <f t="shared" si="20"/>
        <v>0.02</v>
      </c>
      <c r="AL26" s="173">
        <f>INDEX(Input!$C$46:$AM$58,MATCH($A26,Input!$A$46:$A$58,0),MATCH(AL$13,Input!$C$45:$AM$45,0))</f>
        <v>0.02</v>
      </c>
      <c r="AM26" s="31" t="str">
        <f>IF(VLOOKUP($A26,Input!$A$46:$B$58,2,FALSE)="Percentage",AN$22,IF(VLOOKUP($A26,Input!$A$46:$B$58,2,FALSE)="Fixed","Fixed",(AM$22)))</f>
        <v>Fixed</v>
      </c>
      <c r="AN26" s="25">
        <f t="shared" si="21"/>
        <v>0.02</v>
      </c>
      <c r="AP26" s="173">
        <f>INDEX(Input!$C$46:$AM$58,MATCH($A26,Input!$A$46:$A$58,0),MATCH(AP$13,Input!$C$45:$AM$45,0))</f>
        <v>0.02</v>
      </c>
      <c r="AQ26" s="31" t="str">
        <f>IF(VLOOKUP($A26,Input!$A$46:$B$58,2,FALSE)="Percentage",AR$22,IF(VLOOKUP($A26,Input!$A$46:$B$58,2,FALSE)="Fixed","Fixed",(AQ$22)))</f>
        <v>Fixed</v>
      </c>
      <c r="AR26" s="25">
        <f t="shared" si="22"/>
        <v>0.02</v>
      </c>
      <c r="AS26" s="30"/>
      <c r="AT26" s="173">
        <f>INDEX(Input!$C$46:$AM$58,MATCH($A26,Input!$A$46:$A$58,0),MATCH(AT$13,Input!$C$45:$AM$45,0))</f>
        <v>0.02</v>
      </c>
      <c r="AU26" s="31" t="str">
        <f>IF(VLOOKUP($A26,Input!$A$46:$B$58,2,FALSE)="Percentage",AV$22,IF(VLOOKUP($A26,Input!$A$46:$B$58,2,FALSE)="Fixed","Fixed",(AU$22)))</f>
        <v>Fixed</v>
      </c>
      <c r="AV26" s="25">
        <f t="shared" si="23"/>
        <v>0.02</v>
      </c>
    </row>
    <row r="27" spans="1:48" x14ac:dyDescent="0.55000000000000004">
      <c r="A27" t="str">
        <f>Input!A48</f>
        <v>WRAP</v>
      </c>
      <c r="B27" s="173">
        <f>INDEX(Input!$C$46:$AM$58,MATCH($A27,Input!$A$46:$A$58,0),MATCH(B$13,Input!$C$45:$AM$45,0))</f>
        <v>1.45</v>
      </c>
      <c r="C27" s="31" t="str">
        <f>IF(VLOOKUP($A27,Input!$A$46:$B$58,2,FALSE)="Percentage",D$22,IF(VLOOKUP($A27,Input!$A$46:$B$58,2,FALSE)="Fixed","Fixed",(C$22)))</f>
        <v>Fixed</v>
      </c>
      <c r="D27" s="25">
        <f t="shared" si="12"/>
        <v>1.45</v>
      </c>
      <c r="F27" s="173">
        <f>INDEX(Input!$C$46:$AM$58,MATCH($A27,Input!$A$46:$A$58,0),MATCH(F$13,Input!$C$45:$AM$45,0))</f>
        <v>1.45</v>
      </c>
      <c r="G27" s="31" t="str">
        <f>IF(VLOOKUP($A27,Input!$A$46:$B$58,2,FALSE)="Percentage",H$22,IF(VLOOKUP($A27,Input!$A$46:$B$58,2,FALSE)="Fixed","Fixed",(G$22)))</f>
        <v>Fixed</v>
      </c>
      <c r="H27" s="25">
        <f t="shared" si="13"/>
        <v>1.45</v>
      </c>
      <c r="J27" s="173">
        <f>INDEX(Input!$C$46:$AM$58,MATCH($A27,Input!$A$46:$A$58,0),MATCH(J$13,Input!$C$45:$AM$45,0))</f>
        <v>1.45</v>
      </c>
      <c r="K27" s="31" t="str">
        <f>IF(VLOOKUP($A27,Input!$A$46:$B$58,2,FALSE)="Percentage",L$22,IF(VLOOKUP($A27,Input!$A$46:$B$58,2,FALSE)="Fixed","Fixed",(K$22)))</f>
        <v>Fixed</v>
      </c>
      <c r="L27" s="25">
        <f t="shared" si="14"/>
        <v>1.45</v>
      </c>
      <c r="N27" s="173">
        <f>INDEX(Input!$C$46:$AM$58,MATCH($A27,Input!$A$46:$A$58,0),MATCH(N$13,Input!$C$45:$AM$45,0))</f>
        <v>1.45</v>
      </c>
      <c r="O27" s="31" t="str">
        <f>IF(VLOOKUP($A27,Input!$A$46:$B$58,2,FALSE)="Percentage",P$22,IF(VLOOKUP($A27,Input!$A$46:$B$58,2,FALSE)="Fixed","Fixed",(O$22)))</f>
        <v>Fixed</v>
      </c>
      <c r="P27" s="25">
        <f t="shared" si="15"/>
        <v>1.45</v>
      </c>
      <c r="R27" s="173">
        <f>INDEX(Input!$C$46:$AM$58,MATCH($A27,Input!$A$46:$A$58,0),MATCH(R$13,Input!$C$45:$AM$45,0))</f>
        <v>1.45</v>
      </c>
      <c r="S27" s="31" t="str">
        <f>IF(VLOOKUP($A27,Input!$A$46:$B$58,2,FALSE)="Percentage",T$22,IF(VLOOKUP($A27,Input!$A$46:$B$58,2,FALSE)="Fixed","Fixed",(S$22)))</f>
        <v>Fixed</v>
      </c>
      <c r="T27" s="25">
        <f t="shared" si="16"/>
        <v>1.45</v>
      </c>
      <c r="V27" s="173">
        <f>INDEX(Input!$C$46:$AM$58,MATCH($A27,Input!$A$46:$A$58,0),MATCH(V$13,Input!$C$45:$AM$45,0))</f>
        <v>1.45</v>
      </c>
      <c r="W27" s="31" t="str">
        <f>IF(VLOOKUP($A27,Input!$A$46:$B$58,2,FALSE)="Percentage",X$22,IF(VLOOKUP($A27,Input!$A$46:$B$58,2,FALSE)="Fixed","Fixed",(W$22)))</f>
        <v>Fixed</v>
      </c>
      <c r="X27" s="25">
        <f t="shared" si="17"/>
        <v>1.45</v>
      </c>
      <c r="Z27" s="173">
        <f>INDEX(Input!$C$46:$AM$58,MATCH($A27,Input!$A$46:$A$58,0),MATCH(Z$13,Input!$C$45:$AM$45,0))</f>
        <v>1.45</v>
      </c>
      <c r="AA27" s="31" t="str">
        <f>IF(VLOOKUP($A27,Input!$A$46:$B$58,2,FALSE)="Percentage",AB$22,IF(VLOOKUP($A27,Input!$A$46:$B$58,2,FALSE)="Fixed","Fixed",(AA$22)))</f>
        <v>Fixed</v>
      </c>
      <c r="AB27" s="25">
        <f t="shared" si="18"/>
        <v>1.45</v>
      </c>
      <c r="AD27" s="173">
        <f>INDEX(Input!$C$46:$AM$58,MATCH($A27,Input!$A$46:$A$58,0),MATCH(AD$13,Input!$C$45:$AM$45,0))</f>
        <v>1.45</v>
      </c>
      <c r="AE27" s="31" t="str">
        <f>IF(VLOOKUP($A27,Input!$A$46:$B$58,2,FALSE)="Percentage",AF$22,IF(VLOOKUP($A27,Input!$A$46:$B$58,2,FALSE)="Fixed","Fixed",(AE$22)))</f>
        <v>Fixed</v>
      </c>
      <c r="AF27" s="25">
        <f t="shared" si="19"/>
        <v>1.45</v>
      </c>
      <c r="AH27" s="173">
        <f>INDEX(Input!$C$46:$AM$58,MATCH($A27,Input!$A$46:$A$58,0),MATCH(AH$13,Input!$C$45:$AM$45,0))</f>
        <v>1.45</v>
      </c>
      <c r="AI27" s="31" t="str">
        <f>IF(VLOOKUP($A27,Input!$A$46:$B$58,2,FALSE)="Percentage",AJ$22,IF(VLOOKUP($A27,Input!$A$46:$B$58,2,FALSE)="Fixed","Fixed",(AI$22)))</f>
        <v>Fixed</v>
      </c>
      <c r="AJ27" s="25">
        <f t="shared" si="20"/>
        <v>1.45</v>
      </c>
      <c r="AL27" s="173">
        <f>INDEX(Input!$C$46:$AM$58,MATCH($A27,Input!$A$46:$A$58,0),MATCH(AL$13,Input!$C$45:$AM$45,0))</f>
        <v>1.45</v>
      </c>
      <c r="AM27" s="31" t="str">
        <f>IF(VLOOKUP($A27,Input!$A$46:$B$58,2,FALSE)="Percentage",AN$22,IF(VLOOKUP($A27,Input!$A$46:$B$58,2,FALSE)="Fixed","Fixed",(AM$22)))</f>
        <v>Fixed</v>
      </c>
      <c r="AN27" s="25">
        <f t="shared" si="21"/>
        <v>1.45</v>
      </c>
      <c r="AP27" s="173">
        <f>INDEX(Input!$C$46:$AM$58,MATCH($A27,Input!$A$46:$A$58,0),MATCH(AP$13,Input!$C$45:$AM$45,0))</f>
        <v>1.45</v>
      </c>
      <c r="AQ27" s="31" t="str">
        <f>IF(VLOOKUP($A27,Input!$A$46:$B$58,2,FALSE)="Percentage",AR$22,IF(VLOOKUP($A27,Input!$A$46:$B$58,2,FALSE)="Fixed","Fixed",(AQ$22)))</f>
        <v>Fixed</v>
      </c>
      <c r="AR27" s="25">
        <f t="shared" si="22"/>
        <v>1.45</v>
      </c>
      <c r="AS27" s="30"/>
      <c r="AT27" s="173">
        <f>INDEX(Input!$C$46:$AM$58,MATCH($A27,Input!$A$46:$A$58,0),MATCH(AT$13,Input!$C$45:$AM$45,0))</f>
        <v>1.45</v>
      </c>
      <c r="AU27" s="31" t="str">
        <f>IF(VLOOKUP($A27,Input!$A$46:$B$58,2,FALSE)="Percentage",AV$22,IF(VLOOKUP($A27,Input!$A$46:$B$58,2,FALSE)="Fixed","Fixed",(AU$22)))</f>
        <v>Fixed</v>
      </c>
      <c r="AV27" s="25">
        <f t="shared" si="23"/>
        <v>1.45</v>
      </c>
    </row>
    <row r="28" spans="1:48" x14ac:dyDescent="0.55000000000000004">
      <c r="A28" t="str">
        <f>Input!A49</f>
        <v>PRVMA</v>
      </c>
      <c r="B28" s="173">
        <f>INDEX(Input!$C$46:$AM$58,MATCH($A28,Input!$A$46:$A$58,0),MATCH(B$13,Input!$C$45:$AM$45,0))</f>
        <v>8.8400000000000006E-3</v>
      </c>
      <c r="C28" s="31">
        <f>IF(VLOOKUP($A28,Input!$A$46:$B$58,2,FALSE)="Percentage",D$22,IF(VLOOKUP($A28,Input!$A$46:$B$58,2,FALSE)="Fixed","Fixed",(C$22)))</f>
        <v>6</v>
      </c>
      <c r="D28" s="25">
        <f t="shared" si="12"/>
        <v>0.05</v>
      </c>
      <c r="F28" s="173">
        <f>INDEX(Input!$C$46:$AM$58,MATCH($A28,Input!$A$46:$A$58,0),MATCH(F$13,Input!$C$45:$AM$45,0))</f>
        <v>8.8400000000000006E-3</v>
      </c>
      <c r="G28" s="31">
        <f>IF(VLOOKUP($A28,Input!$A$46:$B$58,2,FALSE)="Percentage",H$22,IF(VLOOKUP($A28,Input!$A$46:$B$58,2,FALSE)="Fixed","Fixed",(G$22)))</f>
        <v>6</v>
      </c>
      <c r="H28" s="25">
        <f t="shared" si="13"/>
        <v>0.05</v>
      </c>
      <c r="J28" s="173">
        <f>INDEX(Input!$C$46:$AM$58,MATCH($A28,Input!$A$46:$A$58,0),MATCH(J$13,Input!$C$45:$AM$45,0))</f>
        <v>8.8400000000000006E-3</v>
      </c>
      <c r="K28" s="31">
        <f>IF(VLOOKUP($A28,Input!$A$46:$B$58,2,FALSE)="Percentage",L$22,IF(VLOOKUP($A28,Input!$A$46:$B$58,2,FALSE)="Fixed","Fixed",(K$22)))</f>
        <v>6</v>
      </c>
      <c r="L28" s="25">
        <f t="shared" si="14"/>
        <v>0.05</v>
      </c>
      <c r="N28" s="173">
        <f>INDEX(Input!$C$46:$AM$58,MATCH($A28,Input!$A$46:$A$58,0),MATCH(N$13,Input!$C$45:$AM$45,0))</f>
        <v>8.8400000000000006E-3</v>
      </c>
      <c r="O28" s="31">
        <f>IF(VLOOKUP($A28,Input!$A$46:$B$58,2,FALSE)="Percentage",P$22,IF(VLOOKUP($A28,Input!$A$46:$B$58,2,FALSE)="Fixed","Fixed",(O$22)))</f>
        <v>6</v>
      </c>
      <c r="P28" s="25">
        <f t="shared" si="15"/>
        <v>0.05</v>
      </c>
      <c r="R28" s="173">
        <f>INDEX(Input!$C$46:$AM$58,MATCH($A28,Input!$A$46:$A$58,0),MATCH(R$13,Input!$C$45:$AM$45,0))</f>
        <v>8.8400000000000006E-3</v>
      </c>
      <c r="S28" s="31">
        <f>IF(VLOOKUP($A28,Input!$A$46:$B$58,2,FALSE)="Percentage",T$22,IF(VLOOKUP($A28,Input!$A$46:$B$58,2,FALSE)="Fixed","Fixed",(S$22)))</f>
        <v>6</v>
      </c>
      <c r="T28" s="25">
        <f t="shared" si="16"/>
        <v>0.05</v>
      </c>
      <c r="V28" s="173">
        <f>INDEX(Input!$C$46:$AM$58,MATCH($A28,Input!$A$46:$A$58,0),MATCH(V$13,Input!$C$45:$AM$45,0))</f>
        <v>8.8400000000000006E-3</v>
      </c>
      <c r="W28" s="31">
        <f>IF(VLOOKUP($A28,Input!$A$46:$B$58,2,FALSE)="Percentage",X$22,IF(VLOOKUP($A28,Input!$A$46:$B$58,2,FALSE)="Fixed","Fixed",(W$22)))</f>
        <v>6</v>
      </c>
      <c r="X28" s="25">
        <f t="shared" si="17"/>
        <v>0.05</v>
      </c>
      <c r="Z28" s="173">
        <f>INDEX(Input!$C$46:$AM$58,MATCH($A28,Input!$A$46:$A$58,0),MATCH(Z$13,Input!$C$45:$AM$45,0))</f>
        <v>8.8400000000000006E-3</v>
      </c>
      <c r="AA28" s="31">
        <f>IF(VLOOKUP($A28,Input!$A$46:$B$58,2,FALSE)="Percentage",AB$22,IF(VLOOKUP($A28,Input!$A$46:$B$58,2,FALSE)="Fixed","Fixed",(AA$22)))</f>
        <v>6</v>
      </c>
      <c r="AB28" s="25">
        <f t="shared" si="18"/>
        <v>0.05</v>
      </c>
      <c r="AD28" s="173">
        <f>INDEX(Input!$C$46:$AM$58,MATCH($A28,Input!$A$46:$A$58,0),MATCH(AD$13,Input!$C$45:$AM$45,0))</f>
        <v>8.8400000000000006E-3</v>
      </c>
      <c r="AE28" s="31">
        <f>IF(VLOOKUP($A28,Input!$A$46:$B$58,2,FALSE)="Percentage",AF$22,IF(VLOOKUP($A28,Input!$A$46:$B$58,2,FALSE)="Fixed","Fixed",(AE$22)))</f>
        <v>6</v>
      </c>
      <c r="AF28" s="25">
        <f t="shared" si="19"/>
        <v>0.05</v>
      </c>
      <c r="AH28" s="173">
        <f>INDEX(Input!$C$46:$AM$58,MATCH($A28,Input!$A$46:$A$58,0),MATCH(AH$13,Input!$C$45:$AM$45,0))</f>
        <v>8.8400000000000006E-3</v>
      </c>
      <c r="AI28" s="31">
        <f>IF(VLOOKUP($A28,Input!$A$46:$B$58,2,FALSE)="Percentage",AJ$22,IF(VLOOKUP($A28,Input!$A$46:$B$58,2,FALSE)="Fixed","Fixed",(AI$22)))</f>
        <v>6</v>
      </c>
      <c r="AJ28" s="25">
        <f t="shared" si="20"/>
        <v>0.05</v>
      </c>
      <c r="AL28" s="173">
        <f>INDEX(Input!$C$46:$AM$58,MATCH($A28,Input!$A$46:$A$58,0),MATCH(AL$13,Input!$C$45:$AM$45,0))</f>
        <v>8.8400000000000006E-3</v>
      </c>
      <c r="AM28" s="31">
        <f>IF(VLOOKUP($A28,Input!$A$46:$B$58,2,FALSE)="Percentage",AN$22,IF(VLOOKUP($A28,Input!$A$46:$B$58,2,FALSE)="Fixed","Fixed",(AM$22)))</f>
        <v>6</v>
      </c>
      <c r="AN28" s="25">
        <f t="shared" si="21"/>
        <v>0.05</v>
      </c>
      <c r="AP28" s="173">
        <f>INDEX(Input!$C$46:$AM$58,MATCH($A28,Input!$A$46:$A$58,0),MATCH(AP$13,Input!$C$45:$AM$45,0))</f>
        <v>8.8400000000000006E-3</v>
      </c>
      <c r="AQ28" s="31">
        <f>IF(VLOOKUP($A28,Input!$A$46:$B$58,2,FALSE)="Percentage",AR$22,IF(VLOOKUP($A28,Input!$A$46:$B$58,2,FALSE)="Fixed","Fixed",(AQ$22)))</f>
        <v>6</v>
      </c>
      <c r="AR28" s="25">
        <f t="shared" si="22"/>
        <v>0.05</v>
      </c>
      <c r="AS28" s="30"/>
      <c r="AT28" s="173">
        <f>INDEX(Input!$C$46:$AM$58,MATCH($A28,Input!$A$46:$A$58,0),MATCH(AT$13,Input!$C$45:$AM$45,0))</f>
        <v>8.8400000000000006E-3</v>
      </c>
      <c r="AU28" s="31">
        <f>IF(VLOOKUP($A28,Input!$A$46:$B$58,2,FALSE)="Percentage",AV$22,IF(VLOOKUP($A28,Input!$A$46:$B$58,2,FALSE)="Fixed","Fixed",(AU$22)))</f>
        <v>6</v>
      </c>
      <c r="AV28" s="25">
        <f t="shared" si="23"/>
        <v>0.05</v>
      </c>
    </row>
    <row r="29" spans="1:48" x14ac:dyDescent="0.55000000000000004">
      <c r="A29" t="str">
        <f>Input!A50</f>
        <v>2022 Surcredit</v>
      </c>
      <c r="B29" s="173">
        <f>INDEX(Input!$C$46:$AM$58,MATCH($A29,Input!$A$46:$A$58,0),MATCH(B$13,Input!$C$45:$AM$45,0))</f>
        <v>0</v>
      </c>
      <c r="C29" s="31" t="str">
        <f>IF(VLOOKUP($A29,Input!$A$46:$B$58,2,FALSE)="Percentage",D$22,IF(VLOOKUP($A29,Input!$A$46:$B$58,2,FALSE)="Fixed","Fixed",(C$22)))</f>
        <v>Fixed</v>
      </c>
      <c r="D29" s="25">
        <f t="shared" si="12"/>
        <v>0</v>
      </c>
      <c r="F29" s="173">
        <f>INDEX(Input!$C$46:$AM$58,MATCH($A29,Input!$A$46:$A$58,0),MATCH(F$13,Input!$C$45:$AM$45,0))</f>
        <v>0</v>
      </c>
      <c r="G29" s="31" t="str">
        <f>IF(VLOOKUP($A29,Input!$A$46:$B$58,2,FALSE)="Percentage",H$22,IF(VLOOKUP($A29,Input!$A$46:$B$58,2,FALSE)="Fixed","Fixed",(G$22)))</f>
        <v>Fixed</v>
      </c>
      <c r="H29" s="25">
        <f t="shared" si="13"/>
        <v>0</v>
      </c>
      <c r="J29" s="173">
        <f>INDEX(Input!$C$46:$AM$58,MATCH($A29,Input!$A$46:$A$58,0),MATCH(J$13,Input!$C$45:$AM$45,0))</f>
        <v>0</v>
      </c>
      <c r="K29" s="31" t="str">
        <f>IF(VLOOKUP($A29,Input!$A$46:$B$58,2,FALSE)="Percentage",L$22,IF(VLOOKUP($A29,Input!$A$46:$B$58,2,FALSE)="Fixed","Fixed",(K$22)))</f>
        <v>Fixed</v>
      </c>
      <c r="L29" s="25">
        <f t="shared" si="14"/>
        <v>0</v>
      </c>
      <c r="N29" s="173">
        <f>INDEX(Input!$C$46:$AM$58,MATCH($A29,Input!$A$46:$A$58,0),MATCH(N$13,Input!$C$45:$AM$45,0))</f>
        <v>0</v>
      </c>
      <c r="O29" s="31" t="str">
        <f>IF(VLOOKUP($A29,Input!$A$46:$B$58,2,FALSE)="Percentage",P$22,IF(VLOOKUP($A29,Input!$A$46:$B$58,2,FALSE)="Fixed","Fixed",(O$22)))</f>
        <v>Fixed</v>
      </c>
      <c r="P29" s="25">
        <f t="shared" si="15"/>
        <v>0</v>
      </c>
      <c r="R29" s="173">
        <f>INDEX(Input!$C$46:$AM$58,MATCH($A29,Input!$A$46:$A$58,0),MATCH(R$13,Input!$C$45:$AM$45,0))</f>
        <v>0</v>
      </c>
      <c r="S29" s="31" t="str">
        <f>IF(VLOOKUP($A29,Input!$A$46:$B$58,2,FALSE)="Percentage",T$22,IF(VLOOKUP($A29,Input!$A$46:$B$58,2,FALSE)="Fixed","Fixed",(S$22)))</f>
        <v>Fixed</v>
      </c>
      <c r="T29" s="25">
        <f t="shared" si="16"/>
        <v>0</v>
      </c>
      <c r="V29" s="173">
        <f>INDEX(Input!$C$46:$AM$58,MATCH($A29,Input!$A$46:$A$58,0),MATCH(V$13,Input!$C$45:$AM$45,0))</f>
        <v>0</v>
      </c>
      <c r="W29" s="31" t="str">
        <f>IF(VLOOKUP($A29,Input!$A$46:$B$58,2,FALSE)="Percentage",X$22,IF(VLOOKUP($A29,Input!$A$46:$B$58,2,FALSE)="Fixed","Fixed",(W$22)))</f>
        <v>Fixed</v>
      </c>
      <c r="X29" s="25">
        <f t="shared" si="17"/>
        <v>0</v>
      </c>
      <c r="Z29" s="173">
        <f>INDEX(Input!$C$46:$AM$58,MATCH($A29,Input!$A$46:$A$58,0),MATCH(Z$13,Input!$C$45:$AM$45,0))</f>
        <v>0</v>
      </c>
      <c r="AA29" s="31" t="str">
        <f>IF(VLOOKUP($A29,Input!$A$46:$B$58,2,FALSE)="Percentage",AB$22,IF(VLOOKUP($A29,Input!$A$46:$B$58,2,FALSE)="Fixed","Fixed",(AA$22)))</f>
        <v>Fixed</v>
      </c>
      <c r="AB29" s="25">
        <f t="shared" si="18"/>
        <v>0</v>
      </c>
      <c r="AD29" s="173">
        <f>INDEX(Input!$C$46:$AM$58,MATCH($A29,Input!$A$46:$A$58,0),MATCH(AD$13,Input!$C$45:$AM$45,0))</f>
        <v>0</v>
      </c>
      <c r="AE29" s="31" t="str">
        <f>IF(VLOOKUP($A29,Input!$A$46:$B$58,2,FALSE)="Percentage",AF$22,IF(VLOOKUP($A29,Input!$A$46:$B$58,2,FALSE)="Fixed","Fixed",(AE$22)))</f>
        <v>Fixed</v>
      </c>
      <c r="AF29" s="25">
        <f t="shared" si="19"/>
        <v>0</v>
      </c>
      <c r="AH29" s="173">
        <f>INDEX(Input!$C$46:$AM$58,MATCH($A29,Input!$A$46:$A$58,0),MATCH(AH$13,Input!$C$45:$AM$45,0))</f>
        <v>0</v>
      </c>
      <c r="AI29" s="31" t="str">
        <f>IF(VLOOKUP($A29,Input!$A$46:$B$58,2,FALSE)="Percentage",AJ$22,IF(VLOOKUP($A29,Input!$A$46:$B$58,2,FALSE)="Fixed","Fixed",(AI$22)))</f>
        <v>Fixed</v>
      </c>
      <c r="AJ29" s="25">
        <f t="shared" si="20"/>
        <v>0</v>
      </c>
      <c r="AL29" s="173">
        <f>INDEX(Input!$C$46:$AM$58,MATCH($A29,Input!$A$46:$A$58,0),MATCH(AL$13,Input!$C$45:$AM$45,0))</f>
        <v>0</v>
      </c>
      <c r="AM29" s="31" t="str">
        <f>IF(VLOOKUP($A29,Input!$A$46:$B$58,2,FALSE)="Percentage",AN$22,IF(VLOOKUP($A29,Input!$A$46:$B$58,2,FALSE)="Fixed","Fixed",(AM$22)))</f>
        <v>Fixed</v>
      </c>
      <c r="AN29" s="25">
        <f t="shared" si="21"/>
        <v>0</v>
      </c>
      <c r="AP29" s="173">
        <f>INDEX(Input!$C$46:$AM$58,MATCH($A29,Input!$A$46:$A$58,0),MATCH(AP$13,Input!$C$45:$AM$45,0))</f>
        <v>0</v>
      </c>
      <c r="AQ29" s="31" t="str">
        <f>IF(VLOOKUP($A29,Input!$A$46:$B$58,2,FALSE)="Percentage",AR$22,IF(VLOOKUP($A29,Input!$A$46:$B$58,2,FALSE)="Fixed","Fixed",(AQ$22)))</f>
        <v>Fixed</v>
      </c>
      <c r="AR29" s="25">
        <f t="shared" si="22"/>
        <v>0</v>
      </c>
      <c r="AS29" s="30"/>
      <c r="AT29" s="173">
        <f>INDEX(Input!$C$46:$AM$58,MATCH($A29,Input!$A$46:$A$58,0),MATCH(AT$13,Input!$C$45:$AM$45,0))</f>
        <v>0</v>
      </c>
      <c r="AU29" s="31" t="str">
        <f>IF(VLOOKUP($A29,Input!$A$46:$B$58,2,FALSE)="Percentage",AV$22,IF(VLOOKUP($A29,Input!$A$46:$B$58,2,FALSE)="Fixed","Fixed",(AU$22)))</f>
        <v>Fixed</v>
      </c>
      <c r="AV29" s="25">
        <f t="shared" si="23"/>
        <v>0</v>
      </c>
    </row>
    <row r="30" spans="1:48" x14ac:dyDescent="0.55000000000000004">
      <c r="A30" t="str">
        <f>Input!A51</f>
        <v>Interim Memo Account Surcharge</v>
      </c>
      <c r="B30" s="173">
        <f>INDEX(Input!$C$46:$AM$58,MATCH($A30,Input!$A$46:$A$58,0),MATCH(B$13,Input!$C$45:$AM$45,0))</f>
        <v>0</v>
      </c>
      <c r="C30" s="31">
        <f>IF(VLOOKUP($A30,Input!$A$46:$B$58,2,FALSE)="Percentage",D$22,IF(VLOOKUP($A30,Input!$A$46:$B$58,2,FALSE)="Fixed","Fixed",(C$22)))</f>
        <v>6</v>
      </c>
      <c r="D30" s="25">
        <f t="shared" si="12"/>
        <v>0</v>
      </c>
      <c r="F30" s="173">
        <f>INDEX(Input!$C$46:$AM$58,MATCH($A30,Input!$A$46:$A$58,0),MATCH(F$13,Input!$C$45:$AM$45,0))</f>
        <v>0</v>
      </c>
      <c r="G30" s="31">
        <f>IF(VLOOKUP($A30,Input!$A$46:$B$58,2,FALSE)="Percentage",H$22,IF(VLOOKUP($A30,Input!$A$46:$B$58,2,FALSE)="Fixed","Fixed",(G$22)))</f>
        <v>6</v>
      </c>
      <c r="H30" s="25">
        <f t="shared" si="13"/>
        <v>0</v>
      </c>
      <c r="J30" s="173">
        <f>INDEX(Input!$C$46:$AM$58,MATCH($A30,Input!$A$46:$A$58,0),MATCH(J$13,Input!$C$45:$AM$45,0))</f>
        <v>0</v>
      </c>
      <c r="K30" s="31">
        <f>IF(VLOOKUP($A30,Input!$A$46:$B$58,2,FALSE)="Percentage",L$22,IF(VLOOKUP($A30,Input!$A$46:$B$58,2,FALSE)="Fixed","Fixed",(K$22)))</f>
        <v>6</v>
      </c>
      <c r="L30" s="25">
        <f t="shared" si="14"/>
        <v>0</v>
      </c>
      <c r="N30" s="173">
        <f>INDEX(Input!$C$46:$AM$58,MATCH($A30,Input!$A$46:$A$58,0),MATCH(N$13,Input!$C$45:$AM$45,0))</f>
        <v>0</v>
      </c>
      <c r="O30" s="31">
        <f>IF(VLOOKUP($A30,Input!$A$46:$B$58,2,FALSE)="Percentage",P$22,IF(VLOOKUP($A30,Input!$A$46:$B$58,2,FALSE)="Fixed","Fixed",(O$22)))</f>
        <v>6</v>
      </c>
      <c r="P30" s="25">
        <f t="shared" si="15"/>
        <v>0</v>
      </c>
      <c r="R30" s="173">
        <f>INDEX(Input!$C$46:$AM$58,MATCH($A30,Input!$A$46:$A$58,0),MATCH(R$13,Input!$C$45:$AM$45,0))</f>
        <v>0</v>
      </c>
      <c r="S30" s="31">
        <f>IF(VLOOKUP($A30,Input!$A$46:$B$58,2,FALSE)="Percentage",T$22,IF(VLOOKUP($A30,Input!$A$46:$B$58,2,FALSE)="Fixed","Fixed",(S$22)))</f>
        <v>6</v>
      </c>
      <c r="T30" s="25">
        <f t="shared" si="16"/>
        <v>0</v>
      </c>
      <c r="V30" s="173">
        <f>INDEX(Input!$C$46:$AM$58,MATCH($A30,Input!$A$46:$A$58,0),MATCH(V$13,Input!$C$45:$AM$45,0))</f>
        <v>0</v>
      </c>
      <c r="W30" s="31">
        <f>IF(VLOOKUP($A30,Input!$A$46:$B$58,2,FALSE)="Percentage",X$22,IF(VLOOKUP($A30,Input!$A$46:$B$58,2,FALSE)="Fixed","Fixed",(W$22)))</f>
        <v>6</v>
      </c>
      <c r="X30" s="25">
        <f t="shared" si="17"/>
        <v>0</v>
      </c>
      <c r="Z30" s="173">
        <f>INDEX(Input!$C$46:$AM$58,MATCH($A30,Input!$A$46:$A$58,0),MATCH(Z$13,Input!$C$45:$AM$45,0))</f>
        <v>0</v>
      </c>
      <c r="AA30" s="31">
        <f>IF(VLOOKUP($A30,Input!$A$46:$B$58,2,FALSE)="Percentage",AB$22,IF(VLOOKUP($A30,Input!$A$46:$B$58,2,FALSE)="Fixed","Fixed",(AA$22)))</f>
        <v>6</v>
      </c>
      <c r="AB30" s="25">
        <f t="shared" si="18"/>
        <v>0</v>
      </c>
      <c r="AD30" s="173">
        <f>INDEX(Input!$C$46:$AM$58,MATCH($A30,Input!$A$46:$A$58,0),MATCH(AD$13,Input!$C$45:$AM$45,0))</f>
        <v>0</v>
      </c>
      <c r="AE30" s="31">
        <f>IF(VLOOKUP($A30,Input!$A$46:$B$58,2,FALSE)="Percentage",AF$22,IF(VLOOKUP($A30,Input!$A$46:$B$58,2,FALSE)="Fixed","Fixed",(AE$22)))</f>
        <v>6</v>
      </c>
      <c r="AF30" s="25">
        <f t="shared" si="19"/>
        <v>0</v>
      </c>
      <c r="AH30" s="173">
        <f>INDEX(Input!$C$46:$AM$58,MATCH($A30,Input!$A$46:$A$58,0),MATCH(AH$13,Input!$C$45:$AM$45,0))</f>
        <v>0</v>
      </c>
      <c r="AI30" s="31">
        <f>IF(VLOOKUP($A30,Input!$A$46:$B$58,2,FALSE)="Percentage",AJ$22,IF(VLOOKUP($A30,Input!$A$46:$B$58,2,FALSE)="Fixed","Fixed",(AI$22)))</f>
        <v>6</v>
      </c>
      <c r="AJ30" s="25">
        <f t="shared" si="20"/>
        <v>0</v>
      </c>
      <c r="AL30" s="173">
        <f>INDEX(Input!$C$46:$AM$58,MATCH($A30,Input!$A$46:$A$58,0),MATCH(AL$13,Input!$C$45:$AM$45,0))</f>
        <v>0</v>
      </c>
      <c r="AM30" s="31">
        <f>IF(VLOOKUP($A30,Input!$A$46:$B$58,2,FALSE)="Percentage",AN$22,IF(VLOOKUP($A30,Input!$A$46:$B$58,2,FALSE)="Fixed","Fixed",(AM$22)))</f>
        <v>6</v>
      </c>
      <c r="AN30" s="25">
        <f t="shared" si="21"/>
        <v>0</v>
      </c>
      <c r="AP30" s="173">
        <f>INDEX(Input!$C$46:$AM$58,MATCH($A30,Input!$A$46:$A$58,0),MATCH(AP$13,Input!$C$45:$AM$45,0))</f>
        <v>0</v>
      </c>
      <c r="AQ30" s="31">
        <f>IF(VLOOKUP($A30,Input!$A$46:$B$58,2,FALSE)="Percentage",AR$22,IF(VLOOKUP($A30,Input!$A$46:$B$58,2,FALSE)="Fixed","Fixed",(AQ$22)))</f>
        <v>6</v>
      </c>
      <c r="AR30" s="25">
        <f t="shared" si="22"/>
        <v>0</v>
      </c>
      <c r="AS30" s="30"/>
      <c r="AT30" s="173">
        <f>INDEX(Input!$C$46:$AM$58,MATCH($A30,Input!$A$46:$A$58,0),MATCH(AT$13,Input!$C$45:$AM$45,0))</f>
        <v>0</v>
      </c>
      <c r="AU30" s="31">
        <f>IF(VLOOKUP($A30,Input!$A$46:$B$58,2,FALSE)="Percentage",AV$22,IF(VLOOKUP($A30,Input!$A$46:$B$58,2,FALSE)="Fixed","Fixed",(AU$22)))</f>
        <v>6</v>
      </c>
      <c r="AV30" s="25">
        <f t="shared" si="23"/>
        <v>0</v>
      </c>
    </row>
    <row r="31" spans="1:48" x14ac:dyDescent="0.55000000000000004">
      <c r="A31">
        <f>Input!A52</f>
        <v>0</v>
      </c>
      <c r="B31" s="173">
        <f>INDEX(Input!$C$46:$AM$58,MATCH($A31,Input!$A$46:$A$58,0),MATCH(B$13,Input!$C$45:$AM$45,0))</f>
        <v>0</v>
      </c>
      <c r="C31" s="31">
        <f>IF(VLOOKUP($A31,Input!$A$46:$B$58,2,FALSE)="Percentage",D$22,IF(VLOOKUP($A31,Input!$A$46:$B$58,2,FALSE)="Fixed","Fixed",(C$22)))</f>
        <v>6</v>
      </c>
      <c r="D31" s="25">
        <f t="shared" si="12"/>
        <v>0</v>
      </c>
      <c r="F31" s="173">
        <f>INDEX(Input!$C$46:$AM$58,MATCH($A31,Input!$A$46:$A$58,0),MATCH(F$13,Input!$C$45:$AM$45,0))</f>
        <v>0</v>
      </c>
      <c r="G31" s="31">
        <f>IF(VLOOKUP($A31,Input!$A$46:$B$58,2,FALSE)="Percentage",H$22,IF(VLOOKUP($A31,Input!$A$46:$B$58,2,FALSE)="Fixed","Fixed",(G$22)))</f>
        <v>6</v>
      </c>
      <c r="H31" s="25">
        <f t="shared" si="13"/>
        <v>0</v>
      </c>
      <c r="J31" s="173">
        <f>INDEX(Input!$C$46:$AM$58,MATCH($A31,Input!$A$46:$A$58,0),MATCH(J$13,Input!$C$45:$AM$45,0))</f>
        <v>0</v>
      </c>
      <c r="K31" s="31">
        <f>IF(VLOOKUP($A31,Input!$A$46:$B$58,2,FALSE)="Percentage",L$22,IF(VLOOKUP($A31,Input!$A$46:$B$58,2,FALSE)="Fixed","Fixed",(K$22)))</f>
        <v>6</v>
      </c>
      <c r="L31" s="25">
        <f t="shared" si="14"/>
        <v>0</v>
      </c>
      <c r="N31" s="173">
        <f>INDEX(Input!$C$46:$AM$58,MATCH($A31,Input!$A$46:$A$58,0),MATCH(N$13,Input!$C$45:$AM$45,0))</f>
        <v>0</v>
      </c>
      <c r="O31" s="31">
        <f>IF(VLOOKUP($A31,Input!$A$46:$B$58,2,FALSE)="Percentage",P$22,IF(VLOOKUP($A31,Input!$A$46:$B$58,2,FALSE)="Fixed","Fixed",(O$22)))</f>
        <v>6</v>
      </c>
      <c r="P31" s="25">
        <f t="shared" si="15"/>
        <v>0</v>
      </c>
      <c r="R31" s="173">
        <f>INDEX(Input!$C$46:$AM$58,MATCH($A31,Input!$A$46:$A$58,0),MATCH(R$13,Input!$C$45:$AM$45,0))</f>
        <v>0</v>
      </c>
      <c r="S31" s="31">
        <f>IF(VLOOKUP($A31,Input!$A$46:$B$58,2,FALSE)="Percentage",T$22,IF(VLOOKUP($A31,Input!$A$46:$B$58,2,FALSE)="Fixed","Fixed",(S$22)))</f>
        <v>6</v>
      </c>
      <c r="T31" s="25">
        <f t="shared" si="16"/>
        <v>0</v>
      </c>
      <c r="V31" s="173">
        <f>INDEX(Input!$C$46:$AM$58,MATCH($A31,Input!$A$46:$A$58,0),MATCH(V$13,Input!$C$45:$AM$45,0))</f>
        <v>0</v>
      </c>
      <c r="W31" s="31">
        <f>IF(VLOOKUP($A31,Input!$A$46:$B$58,2,FALSE)="Percentage",X$22,IF(VLOOKUP($A31,Input!$A$46:$B$58,2,FALSE)="Fixed","Fixed",(W$22)))</f>
        <v>6</v>
      </c>
      <c r="X31" s="25">
        <f t="shared" si="17"/>
        <v>0</v>
      </c>
      <c r="Z31" s="173">
        <f>INDEX(Input!$C$46:$AM$58,MATCH($A31,Input!$A$46:$A$58,0),MATCH(Z$13,Input!$C$45:$AM$45,0))</f>
        <v>0</v>
      </c>
      <c r="AA31" s="31">
        <f>IF(VLOOKUP($A31,Input!$A$46:$B$58,2,FALSE)="Percentage",AB$22,IF(VLOOKUP($A31,Input!$A$46:$B$58,2,FALSE)="Fixed","Fixed",(AA$22)))</f>
        <v>6</v>
      </c>
      <c r="AB31" s="25">
        <f t="shared" si="18"/>
        <v>0</v>
      </c>
      <c r="AD31" s="173">
        <f>INDEX(Input!$C$46:$AM$58,MATCH($A31,Input!$A$46:$A$58,0),MATCH(AD$13,Input!$C$45:$AM$45,0))</f>
        <v>0</v>
      </c>
      <c r="AE31" s="31">
        <f>IF(VLOOKUP($A31,Input!$A$46:$B$58,2,FALSE)="Percentage",AF$22,IF(VLOOKUP($A31,Input!$A$46:$B$58,2,FALSE)="Fixed","Fixed",(AE$22)))</f>
        <v>6</v>
      </c>
      <c r="AF31" s="25">
        <f t="shared" si="19"/>
        <v>0</v>
      </c>
      <c r="AH31" s="173">
        <f>INDEX(Input!$C$46:$AM$58,MATCH($A31,Input!$A$46:$A$58,0),MATCH(AH$13,Input!$C$45:$AM$45,0))</f>
        <v>0</v>
      </c>
      <c r="AI31" s="31">
        <f>IF(VLOOKUP($A31,Input!$A$46:$B$58,2,FALSE)="Percentage",AJ$22,IF(VLOOKUP($A31,Input!$A$46:$B$58,2,FALSE)="Fixed","Fixed",(AI$22)))</f>
        <v>6</v>
      </c>
      <c r="AJ31" s="25">
        <f t="shared" si="20"/>
        <v>0</v>
      </c>
      <c r="AL31" s="173">
        <f>INDEX(Input!$C$46:$AM$58,MATCH($A31,Input!$A$46:$A$58,0),MATCH(AL$13,Input!$C$45:$AM$45,0))</f>
        <v>0</v>
      </c>
      <c r="AM31" s="31">
        <f>IF(VLOOKUP($A31,Input!$A$46:$B$58,2,FALSE)="Percentage",AN$22,IF(VLOOKUP($A31,Input!$A$46:$B$58,2,FALSE)="Fixed","Fixed",(AM$22)))</f>
        <v>6</v>
      </c>
      <c r="AN31" s="25">
        <f t="shared" si="21"/>
        <v>0</v>
      </c>
      <c r="AP31" s="173">
        <f>INDEX(Input!$C$46:$AM$58,MATCH($A31,Input!$A$46:$A$58,0),MATCH(AP$13,Input!$C$45:$AM$45,0))</f>
        <v>0</v>
      </c>
      <c r="AQ31" s="31">
        <f>IF(VLOOKUP($A31,Input!$A$46:$B$58,2,FALSE)="Percentage",AR$22,IF(VLOOKUP($A31,Input!$A$46:$B$58,2,FALSE)="Fixed","Fixed",(AQ$22)))</f>
        <v>6</v>
      </c>
      <c r="AR31" s="25">
        <f t="shared" si="22"/>
        <v>0</v>
      </c>
      <c r="AS31" s="30"/>
      <c r="AT31" s="173">
        <f>INDEX(Input!$C$46:$AM$58,MATCH($A31,Input!$A$46:$A$58,0),MATCH(AT$13,Input!$C$45:$AM$45,0))</f>
        <v>0</v>
      </c>
      <c r="AU31" s="31">
        <f>IF(VLOOKUP($A31,Input!$A$46:$B$58,2,FALSE)="Percentage",AV$22,IF(VLOOKUP($A31,Input!$A$46:$B$58,2,FALSE)="Fixed","Fixed",(AU$22)))</f>
        <v>6</v>
      </c>
      <c r="AV31" s="25">
        <f t="shared" si="23"/>
        <v>0</v>
      </c>
    </row>
    <row r="32" spans="1:48" x14ac:dyDescent="0.55000000000000004">
      <c r="A32">
        <f>Input!A53</f>
        <v>0</v>
      </c>
      <c r="B32" s="173">
        <f>INDEX(Input!$C$46:$AM$58,MATCH($A32,Input!$A$46:$A$58,0),MATCH(B$13,Input!$C$45:$AM$45,0))</f>
        <v>0</v>
      </c>
      <c r="C32" s="31">
        <f>IF(VLOOKUP($A32,Input!$A$46:$B$58,2,FALSE)="Percentage",D$22,IF(VLOOKUP($A32,Input!$A$46:$B$58,2,FALSE)="Fixed","Fixed",(C$22)))</f>
        <v>6</v>
      </c>
      <c r="D32" s="25">
        <f t="shared" si="12"/>
        <v>0</v>
      </c>
      <c r="F32" s="173">
        <f>INDEX(Input!$C$46:$AM$58,MATCH($A32,Input!$A$46:$A$58,0),MATCH(F$13,Input!$C$45:$AM$45,0))</f>
        <v>0</v>
      </c>
      <c r="G32" s="31">
        <f>IF(VLOOKUP($A32,Input!$A$46:$B$58,2,FALSE)="Percentage",H$22,IF(VLOOKUP($A32,Input!$A$46:$B$58,2,FALSE)="Fixed","Fixed",(G$22)))</f>
        <v>6</v>
      </c>
      <c r="H32" s="25">
        <f t="shared" si="13"/>
        <v>0</v>
      </c>
      <c r="J32" s="173">
        <f>INDEX(Input!$C$46:$AM$58,MATCH($A32,Input!$A$46:$A$58,0),MATCH(J$13,Input!$C$45:$AM$45,0))</f>
        <v>0</v>
      </c>
      <c r="K32" s="31">
        <f>IF(VLOOKUP($A32,Input!$A$46:$B$58,2,FALSE)="Percentage",L$22,IF(VLOOKUP($A32,Input!$A$46:$B$58,2,FALSE)="Fixed","Fixed",(K$22)))</f>
        <v>6</v>
      </c>
      <c r="L32" s="25">
        <f t="shared" si="14"/>
        <v>0</v>
      </c>
      <c r="N32" s="173">
        <f>INDEX(Input!$C$46:$AM$58,MATCH($A32,Input!$A$46:$A$58,0),MATCH(N$13,Input!$C$45:$AM$45,0))</f>
        <v>0</v>
      </c>
      <c r="O32" s="31">
        <f>IF(VLOOKUP($A32,Input!$A$46:$B$58,2,FALSE)="Percentage",P$22,IF(VLOOKUP($A32,Input!$A$46:$B$58,2,FALSE)="Fixed","Fixed",(O$22)))</f>
        <v>6</v>
      </c>
      <c r="P32" s="25">
        <f t="shared" si="15"/>
        <v>0</v>
      </c>
      <c r="R32" s="173">
        <f>INDEX(Input!$C$46:$AM$58,MATCH($A32,Input!$A$46:$A$58,0),MATCH(R$13,Input!$C$45:$AM$45,0))</f>
        <v>0</v>
      </c>
      <c r="S32" s="31">
        <f>IF(VLOOKUP($A32,Input!$A$46:$B$58,2,FALSE)="Percentage",T$22,IF(VLOOKUP($A32,Input!$A$46:$B$58,2,FALSE)="Fixed","Fixed",(S$22)))</f>
        <v>6</v>
      </c>
      <c r="T32" s="25">
        <f t="shared" si="16"/>
        <v>0</v>
      </c>
      <c r="V32" s="173">
        <f>INDEX(Input!$C$46:$AM$58,MATCH($A32,Input!$A$46:$A$58,0),MATCH(V$13,Input!$C$45:$AM$45,0))</f>
        <v>0</v>
      </c>
      <c r="W32" s="31">
        <f>IF(VLOOKUP($A32,Input!$A$46:$B$58,2,FALSE)="Percentage",X$22,IF(VLOOKUP($A32,Input!$A$46:$B$58,2,FALSE)="Fixed","Fixed",(W$22)))</f>
        <v>6</v>
      </c>
      <c r="X32" s="25">
        <f t="shared" si="17"/>
        <v>0</v>
      </c>
      <c r="Z32" s="173">
        <f>INDEX(Input!$C$46:$AM$58,MATCH($A32,Input!$A$46:$A$58,0),MATCH(Z$13,Input!$C$45:$AM$45,0))</f>
        <v>0</v>
      </c>
      <c r="AA32" s="31">
        <f>IF(VLOOKUP($A32,Input!$A$46:$B$58,2,FALSE)="Percentage",AB$22,IF(VLOOKUP($A32,Input!$A$46:$B$58,2,FALSE)="Fixed","Fixed",(AA$22)))</f>
        <v>6</v>
      </c>
      <c r="AB32" s="25">
        <f t="shared" si="18"/>
        <v>0</v>
      </c>
      <c r="AD32" s="173">
        <f>INDEX(Input!$C$46:$AM$58,MATCH($A32,Input!$A$46:$A$58,0),MATCH(AD$13,Input!$C$45:$AM$45,0))</f>
        <v>0</v>
      </c>
      <c r="AE32" s="31">
        <f>IF(VLOOKUP($A32,Input!$A$46:$B$58,2,FALSE)="Percentage",AF$22,IF(VLOOKUP($A32,Input!$A$46:$B$58,2,FALSE)="Fixed","Fixed",(AE$22)))</f>
        <v>6</v>
      </c>
      <c r="AF32" s="25">
        <f t="shared" si="19"/>
        <v>0</v>
      </c>
      <c r="AH32" s="173">
        <f>INDEX(Input!$C$46:$AM$58,MATCH($A32,Input!$A$46:$A$58,0),MATCH(AH$13,Input!$C$45:$AM$45,0))</f>
        <v>0</v>
      </c>
      <c r="AI32" s="31">
        <f>IF(VLOOKUP($A32,Input!$A$46:$B$58,2,FALSE)="Percentage",AJ$22,IF(VLOOKUP($A32,Input!$A$46:$B$58,2,FALSE)="Fixed","Fixed",(AI$22)))</f>
        <v>6</v>
      </c>
      <c r="AJ32" s="25">
        <f t="shared" si="20"/>
        <v>0</v>
      </c>
      <c r="AL32" s="173">
        <f>INDEX(Input!$C$46:$AM$58,MATCH($A32,Input!$A$46:$A$58,0),MATCH(AL$13,Input!$C$45:$AM$45,0))</f>
        <v>0</v>
      </c>
      <c r="AM32" s="31">
        <f>IF(VLOOKUP($A32,Input!$A$46:$B$58,2,FALSE)="Percentage",AN$22,IF(VLOOKUP($A32,Input!$A$46:$B$58,2,FALSE)="Fixed","Fixed",(AM$22)))</f>
        <v>6</v>
      </c>
      <c r="AN32" s="25">
        <f t="shared" si="21"/>
        <v>0</v>
      </c>
      <c r="AP32" s="173">
        <f>INDEX(Input!$C$46:$AM$58,MATCH($A32,Input!$A$46:$A$58,0),MATCH(AP$13,Input!$C$45:$AM$45,0))</f>
        <v>0</v>
      </c>
      <c r="AQ32" s="31">
        <f>IF(VLOOKUP($A32,Input!$A$46:$B$58,2,FALSE)="Percentage",AR$22,IF(VLOOKUP($A32,Input!$A$46:$B$58,2,FALSE)="Fixed","Fixed",(AQ$22)))</f>
        <v>6</v>
      </c>
      <c r="AR32" s="25">
        <f t="shared" si="22"/>
        <v>0</v>
      </c>
      <c r="AS32" s="30"/>
      <c r="AT32" s="173">
        <f>INDEX(Input!$C$46:$AM$58,MATCH($A32,Input!$A$46:$A$58,0),MATCH(AT$13,Input!$C$45:$AM$45,0))</f>
        <v>0</v>
      </c>
      <c r="AU32" s="31">
        <f>IF(VLOOKUP($A32,Input!$A$46:$B$58,2,FALSE)="Percentage",AV$22,IF(VLOOKUP($A32,Input!$A$46:$B$58,2,FALSE)="Fixed","Fixed",(AU$22)))</f>
        <v>6</v>
      </c>
      <c r="AV32" s="25">
        <f t="shared" si="23"/>
        <v>0</v>
      </c>
    </row>
    <row r="33" spans="1:48" x14ac:dyDescent="0.55000000000000004">
      <c r="A33">
        <f>Input!A54</f>
        <v>0</v>
      </c>
      <c r="B33" s="173">
        <f>INDEX(Input!$C$46:$AM$58,MATCH($A33,Input!$A$46:$A$58,0),MATCH(B$13,Input!$C$45:$AM$45,0))</f>
        <v>0</v>
      </c>
      <c r="C33" s="31">
        <f>IF(VLOOKUP($A33,Input!$A$46:$B$58,2,FALSE)="Percentage",D$22,IF(VLOOKUP($A33,Input!$A$46:$B$58,2,FALSE)="Fixed","Fixed",(C$22)))</f>
        <v>6</v>
      </c>
      <c r="D33" s="25">
        <f t="shared" si="12"/>
        <v>0</v>
      </c>
      <c r="F33" s="173">
        <f>INDEX(Input!$C$46:$AM$58,MATCH($A33,Input!$A$46:$A$58,0),MATCH(F$13,Input!$C$45:$AM$45,0))</f>
        <v>0</v>
      </c>
      <c r="G33" s="31">
        <f>IF(VLOOKUP($A33,Input!$A$46:$B$58,2,FALSE)="Percentage",H$22,IF(VLOOKUP($A33,Input!$A$46:$B$58,2,FALSE)="Fixed","Fixed",(G$22)))</f>
        <v>6</v>
      </c>
      <c r="H33" s="25">
        <f t="shared" si="13"/>
        <v>0</v>
      </c>
      <c r="J33" s="173">
        <f>INDEX(Input!$C$46:$AM$58,MATCH($A33,Input!$A$46:$A$58,0),MATCH(J$13,Input!$C$45:$AM$45,0))</f>
        <v>0</v>
      </c>
      <c r="K33" s="31">
        <f>IF(VLOOKUP($A33,Input!$A$46:$B$58,2,FALSE)="Percentage",L$22,IF(VLOOKUP($A33,Input!$A$46:$B$58,2,FALSE)="Fixed","Fixed",(K$22)))</f>
        <v>6</v>
      </c>
      <c r="L33" s="25">
        <f t="shared" si="14"/>
        <v>0</v>
      </c>
      <c r="N33" s="173">
        <f>INDEX(Input!$C$46:$AM$58,MATCH($A33,Input!$A$46:$A$58,0),MATCH(N$13,Input!$C$45:$AM$45,0))</f>
        <v>0</v>
      </c>
      <c r="O33" s="31">
        <f>IF(VLOOKUP($A33,Input!$A$46:$B$58,2,FALSE)="Percentage",P$22,IF(VLOOKUP($A33,Input!$A$46:$B$58,2,FALSE)="Fixed","Fixed",(O$22)))</f>
        <v>6</v>
      </c>
      <c r="P33" s="25">
        <f t="shared" si="15"/>
        <v>0</v>
      </c>
      <c r="R33" s="173">
        <f>INDEX(Input!$C$46:$AM$58,MATCH($A33,Input!$A$46:$A$58,0),MATCH(R$13,Input!$C$45:$AM$45,0))</f>
        <v>0</v>
      </c>
      <c r="S33" s="31">
        <f>IF(VLOOKUP($A33,Input!$A$46:$B$58,2,FALSE)="Percentage",T$22,IF(VLOOKUP($A33,Input!$A$46:$B$58,2,FALSE)="Fixed","Fixed",(S$22)))</f>
        <v>6</v>
      </c>
      <c r="T33" s="25">
        <f t="shared" si="16"/>
        <v>0</v>
      </c>
      <c r="V33" s="173">
        <f>INDEX(Input!$C$46:$AM$58,MATCH($A33,Input!$A$46:$A$58,0),MATCH(V$13,Input!$C$45:$AM$45,0))</f>
        <v>0</v>
      </c>
      <c r="W33" s="31">
        <f>IF(VLOOKUP($A33,Input!$A$46:$B$58,2,FALSE)="Percentage",X$22,IF(VLOOKUP($A33,Input!$A$46:$B$58,2,FALSE)="Fixed","Fixed",(W$22)))</f>
        <v>6</v>
      </c>
      <c r="X33" s="25">
        <f t="shared" si="17"/>
        <v>0</v>
      </c>
      <c r="Z33" s="173">
        <f>INDEX(Input!$C$46:$AM$58,MATCH($A33,Input!$A$46:$A$58,0),MATCH(Z$13,Input!$C$45:$AM$45,0))</f>
        <v>0</v>
      </c>
      <c r="AA33" s="31">
        <f>IF(VLOOKUP($A33,Input!$A$46:$B$58,2,FALSE)="Percentage",AB$22,IF(VLOOKUP($A33,Input!$A$46:$B$58,2,FALSE)="Fixed","Fixed",(AA$22)))</f>
        <v>6</v>
      </c>
      <c r="AB33" s="25">
        <f t="shared" si="18"/>
        <v>0</v>
      </c>
      <c r="AD33" s="173">
        <f>INDEX(Input!$C$46:$AM$58,MATCH($A33,Input!$A$46:$A$58,0),MATCH(AD$13,Input!$C$45:$AM$45,0))</f>
        <v>0</v>
      </c>
      <c r="AE33" s="31">
        <f>IF(VLOOKUP($A33,Input!$A$46:$B$58,2,FALSE)="Percentage",AF$22,IF(VLOOKUP($A33,Input!$A$46:$B$58,2,FALSE)="Fixed","Fixed",(AE$22)))</f>
        <v>6</v>
      </c>
      <c r="AF33" s="25">
        <f t="shared" si="19"/>
        <v>0</v>
      </c>
      <c r="AH33" s="173">
        <f>INDEX(Input!$C$46:$AM$58,MATCH($A33,Input!$A$46:$A$58,0),MATCH(AH$13,Input!$C$45:$AM$45,0))</f>
        <v>0</v>
      </c>
      <c r="AI33" s="31">
        <f>IF(VLOOKUP($A33,Input!$A$46:$B$58,2,FALSE)="Percentage",AJ$22,IF(VLOOKUP($A33,Input!$A$46:$B$58,2,FALSE)="Fixed","Fixed",(AI$22)))</f>
        <v>6</v>
      </c>
      <c r="AJ33" s="25">
        <f t="shared" si="20"/>
        <v>0</v>
      </c>
      <c r="AL33" s="173">
        <f>INDEX(Input!$C$46:$AM$58,MATCH($A33,Input!$A$46:$A$58,0),MATCH(AL$13,Input!$C$45:$AM$45,0))</f>
        <v>0</v>
      </c>
      <c r="AM33" s="31">
        <f>IF(VLOOKUP($A33,Input!$A$46:$B$58,2,FALSE)="Percentage",AN$22,IF(VLOOKUP($A33,Input!$A$46:$B$58,2,FALSE)="Fixed","Fixed",(AM$22)))</f>
        <v>6</v>
      </c>
      <c r="AN33" s="25">
        <f t="shared" si="21"/>
        <v>0</v>
      </c>
      <c r="AP33" s="173">
        <f>INDEX(Input!$C$46:$AM$58,MATCH($A33,Input!$A$46:$A$58,0),MATCH(AP$13,Input!$C$45:$AM$45,0))</f>
        <v>0</v>
      </c>
      <c r="AQ33" s="31">
        <f>IF(VLOOKUP($A33,Input!$A$46:$B$58,2,FALSE)="Percentage",AR$22,IF(VLOOKUP($A33,Input!$A$46:$B$58,2,FALSE)="Fixed","Fixed",(AQ$22)))</f>
        <v>6</v>
      </c>
      <c r="AR33" s="25">
        <f t="shared" si="22"/>
        <v>0</v>
      </c>
      <c r="AS33" s="30"/>
      <c r="AT33" s="173">
        <f>INDEX(Input!$C$46:$AM$58,MATCH($A33,Input!$A$46:$A$58,0),MATCH(AT$13,Input!$C$45:$AM$45,0))</f>
        <v>0</v>
      </c>
      <c r="AU33" s="31">
        <f>IF(VLOOKUP($A33,Input!$A$46:$B$58,2,FALSE)="Percentage",AV$22,IF(VLOOKUP($A33,Input!$A$46:$B$58,2,FALSE)="Fixed","Fixed",(AU$22)))</f>
        <v>6</v>
      </c>
      <c r="AV33" s="25">
        <f t="shared" si="23"/>
        <v>0</v>
      </c>
    </row>
    <row r="34" spans="1:48" x14ac:dyDescent="0.55000000000000004">
      <c r="A34">
        <f>Input!A55</f>
        <v>0</v>
      </c>
      <c r="B34" s="173">
        <f>INDEX(Input!$C$46:$AM$58,MATCH($A34,Input!$A$46:$A$58,0),MATCH(B$13,Input!$C$45:$AM$45,0))</f>
        <v>0</v>
      </c>
      <c r="C34" s="31">
        <f>IF(VLOOKUP($A34,Input!$A$46:$B$58,2,FALSE)="Percentage",D$22,IF(VLOOKUP($A34,Input!$A$46:$B$58,2,FALSE)="Fixed","Fixed",(C$22)))</f>
        <v>6</v>
      </c>
      <c r="D34" s="25">
        <f t="shared" si="12"/>
        <v>0</v>
      </c>
      <c r="F34" s="173">
        <f>INDEX(Input!$C$46:$AM$58,MATCH($A34,Input!$A$46:$A$58,0),MATCH(F$13,Input!$C$45:$AM$45,0))</f>
        <v>0</v>
      </c>
      <c r="G34" s="31">
        <f>IF(VLOOKUP($A34,Input!$A$46:$B$58,2,FALSE)="Percentage",H$22,IF(VLOOKUP($A34,Input!$A$46:$B$58,2,FALSE)="Fixed","Fixed",(G$22)))</f>
        <v>6</v>
      </c>
      <c r="H34" s="25">
        <f t="shared" si="13"/>
        <v>0</v>
      </c>
      <c r="J34" s="173">
        <f>INDEX(Input!$C$46:$AM$58,MATCH($A34,Input!$A$46:$A$58,0),MATCH(J$13,Input!$C$45:$AM$45,0))</f>
        <v>0</v>
      </c>
      <c r="K34" s="31">
        <f>IF(VLOOKUP($A34,Input!$A$46:$B$58,2,FALSE)="Percentage",L$22,IF(VLOOKUP($A34,Input!$A$46:$B$58,2,FALSE)="Fixed","Fixed",(K$22)))</f>
        <v>6</v>
      </c>
      <c r="L34" s="25">
        <f t="shared" si="14"/>
        <v>0</v>
      </c>
      <c r="N34" s="173">
        <f>INDEX(Input!$C$46:$AM$58,MATCH($A34,Input!$A$46:$A$58,0),MATCH(N$13,Input!$C$45:$AM$45,0))</f>
        <v>0</v>
      </c>
      <c r="O34" s="31">
        <f>IF(VLOOKUP($A34,Input!$A$46:$B$58,2,FALSE)="Percentage",P$22,IF(VLOOKUP($A34,Input!$A$46:$B$58,2,FALSE)="Fixed","Fixed",(O$22)))</f>
        <v>6</v>
      </c>
      <c r="P34" s="25">
        <f t="shared" si="15"/>
        <v>0</v>
      </c>
      <c r="R34" s="173">
        <f>INDEX(Input!$C$46:$AM$58,MATCH($A34,Input!$A$46:$A$58,0),MATCH(R$13,Input!$C$45:$AM$45,0))</f>
        <v>0</v>
      </c>
      <c r="S34" s="31">
        <f>IF(VLOOKUP($A34,Input!$A$46:$B$58,2,FALSE)="Percentage",T$22,IF(VLOOKUP($A34,Input!$A$46:$B$58,2,FALSE)="Fixed","Fixed",(S$22)))</f>
        <v>6</v>
      </c>
      <c r="T34" s="25">
        <f t="shared" si="16"/>
        <v>0</v>
      </c>
      <c r="V34" s="173">
        <f>INDEX(Input!$C$46:$AM$58,MATCH($A34,Input!$A$46:$A$58,0),MATCH(V$13,Input!$C$45:$AM$45,0))</f>
        <v>0</v>
      </c>
      <c r="W34" s="31">
        <f>IF(VLOOKUP($A34,Input!$A$46:$B$58,2,FALSE)="Percentage",X$22,IF(VLOOKUP($A34,Input!$A$46:$B$58,2,FALSE)="Fixed","Fixed",(W$22)))</f>
        <v>6</v>
      </c>
      <c r="X34" s="25">
        <f t="shared" si="17"/>
        <v>0</v>
      </c>
      <c r="Z34" s="173">
        <f>INDEX(Input!$C$46:$AM$58,MATCH($A34,Input!$A$46:$A$58,0),MATCH(Z$13,Input!$C$45:$AM$45,0))</f>
        <v>0</v>
      </c>
      <c r="AA34" s="31">
        <f>IF(VLOOKUP($A34,Input!$A$46:$B$58,2,FALSE)="Percentage",AB$22,IF(VLOOKUP($A34,Input!$A$46:$B$58,2,FALSE)="Fixed","Fixed",(AA$22)))</f>
        <v>6</v>
      </c>
      <c r="AB34" s="25">
        <f t="shared" si="18"/>
        <v>0</v>
      </c>
      <c r="AD34" s="173">
        <f>INDEX(Input!$C$46:$AM$58,MATCH($A34,Input!$A$46:$A$58,0),MATCH(AD$13,Input!$C$45:$AM$45,0))</f>
        <v>0</v>
      </c>
      <c r="AE34" s="31">
        <f>IF(VLOOKUP($A34,Input!$A$46:$B$58,2,FALSE)="Percentage",AF$22,IF(VLOOKUP($A34,Input!$A$46:$B$58,2,FALSE)="Fixed","Fixed",(AE$22)))</f>
        <v>6</v>
      </c>
      <c r="AF34" s="25">
        <f t="shared" si="19"/>
        <v>0</v>
      </c>
      <c r="AH34" s="173">
        <f>INDEX(Input!$C$46:$AM$58,MATCH($A34,Input!$A$46:$A$58,0),MATCH(AH$13,Input!$C$45:$AM$45,0))</f>
        <v>0</v>
      </c>
      <c r="AI34" s="31">
        <f>IF(VLOOKUP($A34,Input!$A$46:$B$58,2,FALSE)="Percentage",AJ$22,IF(VLOOKUP($A34,Input!$A$46:$B$58,2,FALSE)="Fixed","Fixed",(AI$22)))</f>
        <v>6</v>
      </c>
      <c r="AJ34" s="25">
        <f t="shared" si="20"/>
        <v>0</v>
      </c>
      <c r="AL34" s="173">
        <f>INDEX(Input!$C$46:$AM$58,MATCH($A34,Input!$A$46:$A$58,0),MATCH(AL$13,Input!$C$45:$AM$45,0))</f>
        <v>0</v>
      </c>
      <c r="AM34" s="31">
        <f>IF(VLOOKUP($A34,Input!$A$46:$B$58,2,FALSE)="Percentage",AN$22,IF(VLOOKUP($A34,Input!$A$46:$B$58,2,FALSE)="Fixed","Fixed",(AM$22)))</f>
        <v>6</v>
      </c>
      <c r="AN34" s="25">
        <f t="shared" si="21"/>
        <v>0</v>
      </c>
      <c r="AP34" s="173">
        <f>INDEX(Input!$C$46:$AM$58,MATCH($A34,Input!$A$46:$A$58,0),MATCH(AP$13,Input!$C$45:$AM$45,0))</f>
        <v>0</v>
      </c>
      <c r="AQ34" s="31">
        <f>IF(VLOOKUP($A34,Input!$A$46:$B$58,2,FALSE)="Percentage",AR$22,IF(VLOOKUP($A34,Input!$A$46:$B$58,2,FALSE)="Fixed","Fixed",(AQ$22)))</f>
        <v>6</v>
      </c>
      <c r="AR34" s="25">
        <f t="shared" si="22"/>
        <v>0</v>
      </c>
      <c r="AS34" s="30"/>
      <c r="AT34" s="173">
        <f>INDEX(Input!$C$46:$AM$58,MATCH($A34,Input!$A$46:$A$58,0),MATCH(AT$13,Input!$C$45:$AM$45,0))</f>
        <v>0</v>
      </c>
      <c r="AU34" s="31">
        <f>IF(VLOOKUP($A34,Input!$A$46:$B$58,2,FALSE)="Percentage",AV$22,IF(VLOOKUP($A34,Input!$A$46:$B$58,2,FALSE)="Fixed","Fixed",(AU$22)))</f>
        <v>6</v>
      </c>
      <c r="AV34" s="25">
        <f t="shared" si="23"/>
        <v>0</v>
      </c>
    </row>
    <row r="35" spans="1:48" x14ac:dyDescent="0.55000000000000004">
      <c r="A35">
        <f>Input!A56</f>
        <v>0</v>
      </c>
      <c r="B35" s="173">
        <f>INDEX(Input!$C$46:$AM$58,MATCH($A35,Input!$A$46:$A$58,0),MATCH(B$13,Input!$C$45:$AM$45,0))</f>
        <v>0</v>
      </c>
      <c r="C35" s="31">
        <f>IF(VLOOKUP($A35,Input!$A$46:$B$58,2,FALSE)="Percentage",D$22,IF(VLOOKUP($A35,Input!$A$46:$B$58,2,FALSE)="Fixed","Fixed",(C$22)))</f>
        <v>6</v>
      </c>
      <c r="D35" s="25">
        <f t="shared" si="12"/>
        <v>0</v>
      </c>
      <c r="F35" s="173">
        <f>INDEX(Input!$C$46:$AM$58,MATCH($A35,Input!$A$46:$A$58,0),MATCH(F$13,Input!$C$45:$AM$45,0))</f>
        <v>0</v>
      </c>
      <c r="G35" s="31">
        <f>IF(VLOOKUP($A35,Input!$A$46:$B$58,2,FALSE)="Percentage",H$22,IF(VLOOKUP($A35,Input!$A$46:$B$58,2,FALSE)="Fixed","Fixed",(G$22)))</f>
        <v>6</v>
      </c>
      <c r="H35" s="25">
        <f t="shared" si="13"/>
        <v>0</v>
      </c>
      <c r="J35" s="173">
        <f>INDEX(Input!$C$46:$AM$58,MATCH($A35,Input!$A$46:$A$58,0),MATCH(J$13,Input!$C$45:$AM$45,0))</f>
        <v>0</v>
      </c>
      <c r="K35" s="31">
        <f>IF(VLOOKUP($A35,Input!$A$46:$B$58,2,FALSE)="Percentage",L$22,IF(VLOOKUP($A35,Input!$A$46:$B$58,2,FALSE)="Fixed","Fixed",(K$22)))</f>
        <v>6</v>
      </c>
      <c r="L35" s="25">
        <f t="shared" si="14"/>
        <v>0</v>
      </c>
      <c r="N35" s="173">
        <f>INDEX(Input!$C$46:$AM$58,MATCH($A35,Input!$A$46:$A$58,0),MATCH(N$13,Input!$C$45:$AM$45,0))</f>
        <v>0</v>
      </c>
      <c r="O35" s="31">
        <f>IF(VLOOKUP($A35,Input!$A$46:$B$58,2,FALSE)="Percentage",P$22,IF(VLOOKUP($A35,Input!$A$46:$B$58,2,FALSE)="Fixed","Fixed",(O$22)))</f>
        <v>6</v>
      </c>
      <c r="P35" s="25">
        <f t="shared" si="15"/>
        <v>0</v>
      </c>
      <c r="R35" s="173">
        <f>INDEX(Input!$C$46:$AM$58,MATCH($A35,Input!$A$46:$A$58,0),MATCH(R$13,Input!$C$45:$AM$45,0))</f>
        <v>0</v>
      </c>
      <c r="S35" s="31">
        <f>IF(VLOOKUP($A35,Input!$A$46:$B$58,2,FALSE)="Percentage",T$22,IF(VLOOKUP($A35,Input!$A$46:$B$58,2,FALSE)="Fixed","Fixed",(S$22)))</f>
        <v>6</v>
      </c>
      <c r="T35" s="25">
        <f t="shared" si="16"/>
        <v>0</v>
      </c>
      <c r="V35" s="173">
        <f>INDEX(Input!$C$46:$AM$58,MATCH($A35,Input!$A$46:$A$58,0),MATCH(V$13,Input!$C$45:$AM$45,0))</f>
        <v>0</v>
      </c>
      <c r="W35" s="31">
        <f>IF(VLOOKUP($A35,Input!$A$46:$B$58,2,FALSE)="Percentage",X$22,IF(VLOOKUP($A35,Input!$A$46:$B$58,2,FALSE)="Fixed","Fixed",(W$22)))</f>
        <v>6</v>
      </c>
      <c r="X35" s="25">
        <f t="shared" si="17"/>
        <v>0</v>
      </c>
      <c r="Z35" s="173">
        <f>INDEX(Input!$C$46:$AM$58,MATCH($A35,Input!$A$46:$A$58,0),MATCH(Z$13,Input!$C$45:$AM$45,0))</f>
        <v>0</v>
      </c>
      <c r="AA35" s="31">
        <f>IF(VLOOKUP($A35,Input!$A$46:$B$58,2,FALSE)="Percentage",AB$22,IF(VLOOKUP($A35,Input!$A$46:$B$58,2,FALSE)="Fixed","Fixed",(AA$22)))</f>
        <v>6</v>
      </c>
      <c r="AB35" s="25">
        <f t="shared" si="18"/>
        <v>0</v>
      </c>
      <c r="AD35" s="173">
        <f>INDEX(Input!$C$46:$AM$58,MATCH($A35,Input!$A$46:$A$58,0),MATCH(AD$13,Input!$C$45:$AM$45,0))</f>
        <v>0</v>
      </c>
      <c r="AE35" s="31">
        <f>IF(VLOOKUP($A35,Input!$A$46:$B$58,2,FALSE)="Percentage",AF$22,IF(VLOOKUP($A35,Input!$A$46:$B$58,2,FALSE)="Fixed","Fixed",(AE$22)))</f>
        <v>6</v>
      </c>
      <c r="AF35" s="25">
        <f t="shared" si="19"/>
        <v>0</v>
      </c>
      <c r="AH35" s="173">
        <f>INDEX(Input!$C$46:$AM$58,MATCH($A35,Input!$A$46:$A$58,0),MATCH(AH$13,Input!$C$45:$AM$45,0))</f>
        <v>0</v>
      </c>
      <c r="AI35" s="31">
        <f>IF(VLOOKUP($A35,Input!$A$46:$B$58,2,FALSE)="Percentage",AJ$22,IF(VLOOKUP($A35,Input!$A$46:$B$58,2,FALSE)="Fixed","Fixed",(AI$22)))</f>
        <v>6</v>
      </c>
      <c r="AJ35" s="25">
        <f t="shared" si="20"/>
        <v>0</v>
      </c>
      <c r="AL35" s="173">
        <f>INDEX(Input!$C$46:$AM$58,MATCH($A35,Input!$A$46:$A$58,0),MATCH(AL$13,Input!$C$45:$AM$45,0))</f>
        <v>0</v>
      </c>
      <c r="AM35" s="31">
        <f>IF(VLOOKUP($A35,Input!$A$46:$B$58,2,FALSE)="Percentage",AN$22,IF(VLOOKUP($A35,Input!$A$46:$B$58,2,FALSE)="Fixed","Fixed",(AM$22)))</f>
        <v>6</v>
      </c>
      <c r="AN35" s="25">
        <f t="shared" si="21"/>
        <v>0</v>
      </c>
      <c r="AP35" s="173">
        <f>INDEX(Input!$C$46:$AM$58,MATCH($A35,Input!$A$46:$A$58,0),MATCH(AP$13,Input!$C$45:$AM$45,0))</f>
        <v>0</v>
      </c>
      <c r="AQ35" s="31">
        <f>IF(VLOOKUP($A35,Input!$A$46:$B$58,2,FALSE)="Percentage",AR$22,IF(VLOOKUP($A35,Input!$A$46:$B$58,2,FALSE)="Fixed","Fixed",(AQ$22)))</f>
        <v>6</v>
      </c>
      <c r="AR35" s="25">
        <f t="shared" si="22"/>
        <v>0</v>
      </c>
      <c r="AS35" s="30"/>
      <c r="AT35" s="173">
        <f>INDEX(Input!$C$46:$AM$58,MATCH($A35,Input!$A$46:$A$58,0),MATCH(AT$13,Input!$C$45:$AM$45,0))</f>
        <v>0</v>
      </c>
      <c r="AU35" s="31">
        <f>IF(VLOOKUP($A35,Input!$A$46:$B$58,2,FALSE)="Percentage",AV$22,IF(VLOOKUP($A35,Input!$A$46:$B$58,2,FALSE)="Fixed","Fixed",(AU$22)))</f>
        <v>6</v>
      </c>
      <c r="AV35" s="25">
        <f t="shared" si="23"/>
        <v>0</v>
      </c>
    </row>
    <row r="36" spans="1:48" x14ac:dyDescent="0.55000000000000004">
      <c r="A36">
        <f>Input!A57</f>
        <v>0</v>
      </c>
      <c r="B36" s="173">
        <f>INDEX(Input!$C$46:$AM$58,MATCH($A36,Input!$A$46:$A$58,0),MATCH(B$13,Input!$C$45:$AM$45,0))</f>
        <v>0</v>
      </c>
      <c r="C36" s="31">
        <f>IF(VLOOKUP($A36,Input!$A$46:$B$58,2,FALSE)="Percentage",D$22,IF(VLOOKUP($A36,Input!$A$46:$B$58,2,FALSE)="Fixed","Fixed",(C$22)))</f>
        <v>6</v>
      </c>
      <c r="D36" s="25">
        <f t="shared" si="12"/>
        <v>0</v>
      </c>
      <c r="F36" s="173">
        <f>INDEX(Input!$C$46:$AM$58,MATCH($A36,Input!$A$46:$A$58,0),MATCH(F$13,Input!$C$45:$AM$45,0))</f>
        <v>0</v>
      </c>
      <c r="G36" s="31">
        <f>IF(VLOOKUP($A36,Input!$A$46:$B$58,2,FALSE)="Percentage",H$22,IF(VLOOKUP($A36,Input!$A$46:$B$58,2,FALSE)="Fixed","Fixed",(G$22)))</f>
        <v>6</v>
      </c>
      <c r="H36" s="25">
        <f t="shared" si="13"/>
        <v>0</v>
      </c>
      <c r="J36" s="173">
        <f>INDEX(Input!$C$46:$AM$58,MATCH($A36,Input!$A$46:$A$58,0),MATCH(J$13,Input!$C$45:$AM$45,0))</f>
        <v>0</v>
      </c>
      <c r="K36" s="31">
        <f>IF(VLOOKUP($A36,Input!$A$46:$B$58,2,FALSE)="Percentage",L$22,IF(VLOOKUP($A36,Input!$A$46:$B$58,2,FALSE)="Fixed","Fixed",(K$22)))</f>
        <v>6</v>
      </c>
      <c r="L36" s="25">
        <f t="shared" si="14"/>
        <v>0</v>
      </c>
      <c r="N36" s="173">
        <f>INDEX(Input!$C$46:$AM$58,MATCH($A36,Input!$A$46:$A$58,0),MATCH(N$13,Input!$C$45:$AM$45,0))</f>
        <v>0</v>
      </c>
      <c r="O36" s="31">
        <f>IF(VLOOKUP($A36,Input!$A$46:$B$58,2,FALSE)="Percentage",P$22,IF(VLOOKUP($A36,Input!$A$46:$B$58,2,FALSE)="Fixed","Fixed",(O$22)))</f>
        <v>6</v>
      </c>
      <c r="P36" s="25">
        <f t="shared" si="15"/>
        <v>0</v>
      </c>
      <c r="R36" s="173">
        <f>INDEX(Input!$C$46:$AM$58,MATCH($A36,Input!$A$46:$A$58,0),MATCH(R$13,Input!$C$45:$AM$45,0))</f>
        <v>0</v>
      </c>
      <c r="S36" s="31">
        <f>IF(VLOOKUP($A36,Input!$A$46:$B$58,2,FALSE)="Percentage",T$22,IF(VLOOKUP($A36,Input!$A$46:$B$58,2,FALSE)="Fixed","Fixed",(S$22)))</f>
        <v>6</v>
      </c>
      <c r="T36" s="25">
        <f t="shared" si="16"/>
        <v>0</v>
      </c>
      <c r="V36" s="173">
        <f>INDEX(Input!$C$46:$AM$58,MATCH($A36,Input!$A$46:$A$58,0),MATCH(V$13,Input!$C$45:$AM$45,0))</f>
        <v>0</v>
      </c>
      <c r="W36" s="31">
        <f>IF(VLOOKUP($A36,Input!$A$46:$B$58,2,FALSE)="Percentage",X$22,IF(VLOOKUP($A36,Input!$A$46:$B$58,2,FALSE)="Fixed","Fixed",(W$22)))</f>
        <v>6</v>
      </c>
      <c r="X36" s="25">
        <f t="shared" si="17"/>
        <v>0</v>
      </c>
      <c r="Z36" s="173">
        <f>INDEX(Input!$C$46:$AM$58,MATCH($A36,Input!$A$46:$A$58,0),MATCH(Z$13,Input!$C$45:$AM$45,0))</f>
        <v>0</v>
      </c>
      <c r="AA36" s="31">
        <f>IF(VLOOKUP($A36,Input!$A$46:$B$58,2,FALSE)="Percentage",AB$22,IF(VLOOKUP($A36,Input!$A$46:$B$58,2,FALSE)="Fixed","Fixed",(AA$22)))</f>
        <v>6</v>
      </c>
      <c r="AB36" s="25">
        <f t="shared" si="18"/>
        <v>0</v>
      </c>
      <c r="AD36" s="173">
        <f>INDEX(Input!$C$46:$AM$58,MATCH($A36,Input!$A$46:$A$58,0),MATCH(AD$13,Input!$C$45:$AM$45,0))</f>
        <v>0</v>
      </c>
      <c r="AE36" s="31">
        <f>IF(VLOOKUP($A36,Input!$A$46:$B$58,2,FALSE)="Percentage",AF$22,IF(VLOOKUP($A36,Input!$A$46:$B$58,2,FALSE)="Fixed","Fixed",(AE$22)))</f>
        <v>6</v>
      </c>
      <c r="AF36" s="25">
        <f t="shared" si="19"/>
        <v>0</v>
      </c>
      <c r="AH36" s="173">
        <f>INDEX(Input!$C$46:$AM$58,MATCH($A36,Input!$A$46:$A$58,0),MATCH(AH$13,Input!$C$45:$AM$45,0))</f>
        <v>0</v>
      </c>
      <c r="AI36" s="31">
        <f>IF(VLOOKUP($A36,Input!$A$46:$B$58,2,FALSE)="Percentage",AJ$22,IF(VLOOKUP($A36,Input!$A$46:$B$58,2,FALSE)="Fixed","Fixed",(AI$22)))</f>
        <v>6</v>
      </c>
      <c r="AJ36" s="25">
        <f t="shared" si="20"/>
        <v>0</v>
      </c>
      <c r="AL36" s="173">
        <f>INDEX(Input!$C$46:$AM$58,MATCH($A36,Input!$A$46:$A$58,0),MATCH(AL$13,Input!$C$45:$AM$45,0))</f>
        <v>0</v>
      </c>
      <c r="AM36" s="31">
        <f>IF(VLOOKUP($A36,Input!$A$46:$B$58,2,FALSE)="Percentage",AN$22,IF(VLOOKUP($A36,Input!$A$46:$B$58,2,FALSE)="Fixed","Fixed",(AM$22)))</f>
        <v>6</v>
      </c>
      <c r="AN36" s="25">
        <f t="shared" si="21"/>
        <v>0</v>
      </c>
      <c r="AP36" s="173">
        <f>INDEX(Input!$C$46:$AM$58,MATCH($A36,Input!$A$46:$A$58,0),MATCH(AP$13,Input!$C$45:$AM$45,0))</f>
        <v>0</v>
      </c>
      <c r="AQ36" s="31">
        <f>IF(VLOOKUP($A36,Input!$A$46:$B$58,2,FALSE)="Percentage",AR$22,IF(VLOOKUP($A36,Input!$A$46:$B$58,2,FALSE)="Fixed","Fixed",(AQ$22)))</f>
        <v>6</v>
      </c>
      <c r="AR36" s="25">
        <f t="shared" si="22"/>
        <v>0</v>
      </c>
      <c r="AS36" s="30"/>
      <c r="AT36" s="173">
        <f>INDEX(Input!$C$46:$AM$58,MATCH($A36,Input!$A$46:$A$58,0),MATCH(AT$13,Input!$C$45:$AM$45,0))</f>
        <v>0</v>
      </c>
      <c r="AU36" s="31">
        <f>IF(VLOOKUP($A36,Input!$A$46:$B$58,2,FALSE)="Percentage",AV$22,IF(VLOOKUP($A36,Input!$A$46:$B$58,2,FALSE)="Fixed","Fixed",(AU$22)))</f>
        <v>6</v>
      </c>
      <c r="AV36" s="25">
        <f t="shared" si="23"/>
        <v>0</v>
      </c>
    </row>
    <row r="37" spans="1:48" x14ac:dyDescent="0.55000000000000004">
      <c r="A37">
        <f>Input!A58</f>
        <v>0</v>
      </c>
      <c r="B37" s="173">
        <f>INDEX(Input!$C$46:$AM$58,MATCH($A37,Input!$A$46:$A$58,0),MATCH(B$13,Input!$C$45:$AM$45,0))</f>
        <v>0</v>
      </c>
      <c r="C37" s="31">
        <f>IF(VLOOKUP($A37,Input!$A$46:$B$58,2,FALSE)="Percentage",D$22,IF(VLOOKUP($A37,Input!$A$46:$B$58,2,FALSE)="Fixed","Fixed",(C$22)))</f>
        <v>6</v>
      </c>
      <c r="D37" s="25">
        <f t="shared" si="12"/>
        <v>0</v>
      </c>
      <c r="F37" s="173">
        <f>INDEX(Input!$C$46:$AM$58,MATCH($A37,Input!$A$46:$A$58,0),MATCH(F$13,Input!$C$45:$AM$45,0))</f>
        <v>0</v>
      </c>
      <c r="G37" s="31">
        <f>IF(VLOOKUP($A37,Input!$A$46:$B$58,2,FALSE)="Percentage",H$22,IF(VLOOKUP($A37,Input!$A$46:$B$58,2,FALSE)="Fixed","Fixed",(G$22)))</f>
        <v>6</v>
      </c>
      <c r="H37" s="25">
        <f t="shared" si="13"/>
        <v>0</v>
      </c>
      <c r="J37" s="173">
        <f>INDEX(Input!$C$46:$AM$58,MATCH($A37,Input!$A$46:$A$58,0),MATCH(J$13,Input!$C$45:$AM$45,0))</f>
        <v>0</v>
      </c>
      <c r="K37" s="31">
        <f>IF(VLOOKUP($A37,Input!$A$46:$B$58,2,FALSE)="Percentage",L$22,IF(VLOOKUP($A37,Input!$A$46:$B$58,2,FALSE)="Fixed","Fixed",(K$22)))</f>
        <v>6</v>
      </c>
      <c r="L37" s="25">
        <f t="shared" si="14"/>
        <v>0</v>
      </c>
      <c r="N37" s="173">
        <f>INDEX(Input!$C$46:$AM$58,MATCH($A37,Input!$A$46:$A$58,0),MATCH(N$13,Input!$C$45:$AM$45,0))</f>
        <v>0</v>
      </c>
      <c r="O37" s="31">
        <f>IF(VLOOKUP($A37,Input!$A$46:$B$58,2,FALSE)="Percentage",P$22,IF(VLOOKUP($A37,Input!$A$46:$B$58,2,FALSE)="Fixed","Fixed",(O$22)))</f>
        <v>6</v>
      </c>
      <c r="P37" s="25">
        <f t="shared" si="15"/>
        <v>0</v>
      </c>
      <c r="R37" s="173">
        <f>INDEX(Input!$C$46:$AM$58,MATCH($A37,Input!$A$46:$A$58,0),MATCH(R$13,Input!$C$45:$AM$45,0))</f>
        <v>0</v>
      </c>
      <c r="S37" s="31">
        <f>IF(VLOOKUP($A37,Input!$A$46:$B$58,2,FALSE)="Percentage",T$22,IF(VLOOKUP($A37,Input!$A$46:$B$58,2,FALSE)="Fixed","Fixed",(S$22)))</f>
        <v>6</v>
      </c>
      <c r="T37" s="25">
        <f t="shared" si="16"/>
        <v>0</v>
      </c>
      <c r="V37" s="173">
        <f>INDEX(Input!$C$46:$AM$58,MATCH($A37,Input!$A$46:$A$58,0),MATCH(V$13,Input!$C$45:$AM$45,0))</f>
        <v>0</v>
      </c>
      <c r="W37" s="31">
        <f>IF(VLOOKUP($A37,Input!$A$46:$B$58,2,FALSE)="Percentage",X$22,IF(VLOOKUP($A37,Input!$A$46:$B$58,2,FALSE)="Fixed","Fixed",(W$22)))</f>
        <v>6</v>
      </c>
      <c r="X37" s="25">
        <f t="shared" si="17"/>
        <v>0</v>
      </c>
      <c r="Z37" s="173">
        <f>INDEX(Input!$C$46:$AM$58,MATCH($A37,Input!$A$46:$A$58,0),MATCH(Z$13,Input!$C$45:$AM$45,0))</f>
        <v>0</v>
      </c>
      <c r="AA37" s="31">
        <f>IF(VLOOKUP($A37,Input!$A$46:$B$58,2,FALSE)="Percentage",AB$22,IF(VLOOKUP($A37,Input!$A$46:$B$58,2,FALSE)="Fixed","Fixed",(AA$22)))</f>
        <v>6</v>
      </c>
      <c r="AB37" s="25">
        <f t="shared" si="18"/>
        <v>0</v>
      </c>
      <c r="AD37" s="173">
        <f>INDEX(Input!$C$46:$AM$58,MATCH($A37,Input!$A$46:$A$58,0),MATCH(AD$13,Input!$C$45:$AM$45,0))</f>
        <v>0</v>
      </c>
      <c r="AE37" s="31">
        <f>IF(VLOOKUP($A37,Input!$A$46:$B$58,2,FALSE)="Percentage",AF$22,IF(VLOOKUP($A37,Input!$A$46:$B$58,2,FALSE)="Fixed","Fixed",(AE$22)))</f>
        <v>6</v>
      </c>
      <c r="AF37" s="25">
        <f t="shared" si="19"/>
        <v>0</v>
      </c>
      <c r="AH37" s="173">
        <f>INDEX(Input!$C$46:$AM$58,MATCH($A37,Input!$A$46:$A$58,0),MATCH(AH$13,Input!$C$45:$AM$45,0))</f>
        <v>0</v>
      </c>
      <c r="AI37" s="31">
        <f>IF(VLOOKUP($A37,Input!$A$46:$B$58,2,FALSE)="Percentage",AJ$22,IF(VLOOKUP($A37,Input!$A$46:$B$58,2,FALSE)="Fixed","Fixed",(AI$22)))</f>
        <v>6</v>
      </c>
      <c r="AJ37" s="25">
        <f t="shared" si="20"/>
        <v>0</v>
      </c>
      <c r="AL37" s="173">
        <f>INDEX(Input!$C$46:$AM$58,MATCH($A37,Input!$A$46:$A$58,0),MATCH(AL$13,Input!$C$45:$AM$45,0))</f>
        <v>0</v>
      </c>
      <c r="AM37" s="31">
        <f>IF(VLOOKUP($A37,Input!$A$46:$B$58,2,FALSE)="Percentage",AN$22,IF(VLOOKUP($A37,Input!$A$46:$B$58,2,FALSE)="Fixed","Fixed",(AM$22)))</f>
        <v>6</v>
      </c>
      <c r="AN37" s="25">
        <f t="shared" si="21"/>
        <v>0</v>
      </c>
      <c r="AP37" s="173">
        <f>INDEX(Input!$C$46:$AM$58,MATCH($A37,Input!$A$46:$A$58,0),MATCH(AP$13,Input!$C$45:$AM$45,0))</f>
        <v>0</v>
      </c>
      <c r="AQ37" s="31">
        <f>IF(VLOOKUP($A37,Input!$A$46:$B$58,2,FALSE)="Percentage",AR$22,IF(VLOOKUP($A37,Input!$A$46:$B$58,2,FALSE)="Fixed","Fixed",(AQ$22)))</f>
        <v>6</v>
      </c>
      <c r="AR37" s="25">
        <f t="shared" si="22"/>
        <v>0</v>
      </c>
      <c r="AS37" s="30"/>
      <c r="AT37" s="173">
        <f>INDEX(Input!$C$46:$AM$58,MATCH($A37,Input!$A$46:$A$58,0),MATCH(AT$13,Input!$C$45:$AM$45,0))</f>
        <v>0</v>
      </c>
      <c r="AU37" s="31">
        <f>IF(VLOOKUP($A37,Input!$A$46:$B$58,2,FALSE)="Percentage",AV$22,IF(VLOOKUP($A37,Input!$A$46:$B$58,2,FALSE)="Fixed","Fixed",(AU$22)))</f>
        <v>6</v>
      </c>
      <c r="AV37" s="25">
        <f t="shared" si="23"/>
        <v>0</v>
      </c>
    </row>
    <row r="38" spans="1:48" x14ac:dyDescent="0.55000000000000004">
      <c r="A38" t="s">
        <v>39</v>
      </c>
      <c r="B38" s="16"/>
      <c r="C38" s="17"/>
      <c r="D38" s="26">
        <f>SUM(D25:D37)</f>
        <v>1.56</v>
      </c>
      <c r="F38" s="16"/>
      <c r="G38" s="17"/>
      <c r="H38" s="26">
        <f>SUM(H25:H37)</f>
        <v>1.56</v>
      </c>
      <c r="J38" s="16"/>
      <c r="K38" s="17"/>
      <c r="L38" s="26">
        <f>SUM(L25:L37)</f>
        <v>1.56</v>
      </c>
      <c r="N38" s="16"/>
      <c r="O38" s="17"/>
      <c r="P38" s="26">
        <f>SUM(P25:P37)</f>
        <v>1.56</v>
      </c>
      <c r="R38" s="16"/>
      <c r="S38" s="17"/>
      <c r="T38" s="26">
        <f>SUM(T25:T37)</f>
        <v>1.56</v>
      </c>
      <c r="V38" s="16"/>
      <c r="W38" s="17"/>
      <c r="X38" s="26">
        <f>SUM(X25:X37)</f>
        <v>1.56</v>
      </c>
      <c r="Z38" s="16"/>
      <c r="AA38" s="17"/>
      <c r="AB38" s="26">
        <f>SUM(AB25:AB37)</f>
        <v>1.56</v>
      </c>
      <c r="AD38" s="16"/>
      <c r="AE38" s="17"/>
      <c r="AF38" s="26">
        <f>SUM(AF25:AF37)</f>
        <v>1.56</v>
      </c>
      <c r="AH38" s="16"/>
      <c r="AI38" s="17"/>
      <c r="AJ38" s="26">
        <f>SUM(AJ25:AJ37)</f>
        <v>1.56</v>
      </c>
      <c r="AL38" s="16"/>
      <c r="AM38" s="17"/>
      <c r="AN38" s="26">
        <f>SUM(AN25:AN37)</f>
        <v>1.56</v>
      </c>
      <c r="AP38" s="16"/>
      <c r="AQ38" s="17"/>
      <c r="AR38" s="26">
        <f>SUM(AR25:AR37)</f>
        <v>1.56</v>
      </c>
      <c r="AS38" s="64"/>
      <c r="AT38" s="16"/>
      <c r="AU38" s="17"/>
      <c r="AV38" s="26">
        <f>SUM(AV25:AV37)</f>
        <v>1.56</v>
      </c>
    </row>
    <row r="39" spans="1:48" x14ac:dyDescent="0.55000000000000004">
      <c r="B39" s="16"/>
      <c r="C39" s="17"/>
      <c r="D39" s="19"/>
      <c r="F39" s="16"/>
      <c r="G39" s="17"/>
      <c r="H39" s="19"/>
      <c r="J39" s="16"/>
      <c r="K39" s="17"/>
      <c r="L39" s="19"/>
      <c r="N39" s="16"/>
      <c r="O39" s="17"/>
      <c r="P39" s="19"/>
      <c r="R39" s="16"/>
      <c r="S39" s="17"/>
      <c r="T39" s="19"/>
      <c r="V39" s="16"/>
      <c r="W39" s="17"/>
      <c r="X39" s="19"/>
      <c r="Z39" s="16"/>
      <c r="AA39" s="17"/>
      <c r="AB39" s="19"/>
      <c r="AD39" s="16"/>
      <c r="AE39" s="17"/>
      <c r="AF39" s="19"/>
      <c r="AH39" s="16"/>
      <c r="AI39" s="17"/>
      <c r="AJ39" s="19"/>
      <c r="AL39" s="16"/>
      <c r="AM39" s="17"/>
      <c r="AN39" s="19"/>
      <c r="AP39" s="16"/>
      <c r="AQ39" s="17"/>
      <c r="AR39" s="19"/>
      <c r="AS39" s="17"/>
      <c r="AT39" s="16"/>
      <c r="AU39" s="17"/>
      <c r="AV39" s="19"/>
    </row>
    <row r="40" spans="1:48" x14ac:dyDescent="0.55000000000000004">
      <c r="A40" s="1" t="s">
        <v>35</v>
      </c>
      <c r="B40" s="20" t="s">
        <v>29</v>
      </c>
      <c r="C40" s="21" t="s">
        <v>45</v>
      </c>
      <c r="D40" s="22" t="s">
        <v>30</v>
      </c>
      <c r="F40" s="20" t="s">
        <v>29</v>
      </c>
      <c r="G40" s="21" t="s">
        <v>45</v>
      </c>
      <c r="H40" s="111" t="s">
        <v>30</v>
      </c>
      <c r="J40" s="20" t="s">
        <v>29</v>
      </c>
      <c r="K40" s="21" t="s">
        <v>45</v>
      </c>
      <c r="L40" s="111" t="s">
        <v>30</v>
      </c>
      <c r="N40" s="20" t="s">
        <v>29</v>
      </c>
      <c r="O40" s="21" t="s">
        <v>45</v>
      </c>
      <c r="P40" s="111" t="s">
        <v>30</v>
      </c>
      <c r="R40" s="20" t="s">
        <v>29</v>
      </c>
      <c r="S40" s="21" t="s">
        <v>45</v>
      </c>
      <c r="T40" s="111" t="s">
        <v>30</v>
      </c>
      <c r="V40" s="20" t="s">
        <v>29</v>
      </c>
      <c r="W40" s="21" t="s">
        <v>45</v>
      </c>
      <c r="X40" s="111" t="s">
        <v>30</v>
      </c>
      <c r="Z40" s="20" t="s">
        <v>29</v>
      </c>
      <c r="AA40" s="21" t="s">
        <v>45</v>
      </c>
      <c r="AB40" s="111" t="s">
        <v>30</v>
      </c>
      <c r="AD40" s="20" t="s">
        <v>29</v>
      </c>
      <c r="AE40" s="21" t="s">
        <v>45</v>
      </c>
      <c r="AF40" s="111" t="s">
        <v>30</v>
      </c>
      <c r="AH40" s="20" t="s">
        <v>29</v>
      </c>
      <c r="AI40" s="21" t="s">
        <v>45</v>
      </c>
      <c r="AJ40" s="111" t="s">
        <v>30</v>
      </c>
      <c r="AL40" s="20" t="s">
        <v>29</v>
      </c>
      <c r="AM40" s="21" t="s">
        <v>45</v>
      </c>
      <c r="AN40" s="111" t="s">
        <v>30</v>
      </c>
      <c r="AP40" s="20" t="s">
        <v>29</v>
      </c>
      <c r="AQ40" s="21" t="s">
        <v>45</v>
      </c>
      <c r="AR40" s="111" t="s">
        <v>30</v>
      </c>
      <c r="AS40" s="170"/>
      <c r="AT40" s="20" t="s">
        <v>29</v>
      </c>
      <c r="AU40" s="21" t="s">
        <v>45</v>
      </c>
      <c r="AV40" s="111" t="s">
        <v>30</v>
      </c>
    </row>
    <row r="41" spans="1:48" x14ac:dyDescent="0.55000000000000004">
      <c r="A41" t="str">
        <f>+Input!A77</f>
        <v>CPUC Fee</v>
      </c>
      <c r="B41" s="29">
        <f>INDEX(Input!$C$77:$AL$82,MATCH('Residential Bills_Yr 1_avg'!$A$41,Input!$A$77:$A$82,0),MATCH('Residential Bills_Yr 1_avg'!B13:D13,Input!$C$76:$AL$76,0))</f>
        <v>1.43E-2</v>
      </c>
      <c r="C41" s="30">
        <f>D22+D38</f>
        <v>82.044772356597576</v>
      </c>
      <c r="D41" s="25">
        <f>ROUND(B41*C41,2)</f>
        <v>1.17</v>
      </c>
      <c r="F41" s="29">
        <f>INDEX(Input!$C$77:$AL$82,MATCH('Residential Bills_Yr 1_avg'!$A$41,Input!$A$77:$A$82,0),MATCH('Residential Bills_Yr 1_avg'!F13:H13,Input!$C$76:$AL$76,0))</f>
        <v>1.43E-2</v>
      </c>
      <c r="G41" s="30">
        <f>H22+H38</f>
        <v>82.044772356597576</v>
      </c>
      <c r="H41" s="25">
        <f>ROUND(F41*G41,2)</f>
        <v>1.17</v>
      </c>
      <c r="J41" s="29">
        <f>INDEX(Input!$C$77:$AL$82,MATCH('Residential Bills_Yr 1_avg'!$A$41,Input!$A$77:$A$82,0),MATCH('Residential Bills_Yr 1_avg'!J13:L13,Input!$C$76:$AL$76,0))</f>
        <v>1.43E-2</v>
      </c>
      <c r="K41" s="30">
        <f>L22+L38</f>
        <v>82.044772356597576</v>
      </c>
      <c r="L41" s="25">
        <f>ROUND(J41*K41,2)</f>
        <v>1.17</v>
      </c>
      <c r="N41" s="29">
        <f>INDEX(Input!$C$77:$AL$82,MATCH('Residential Bills_Yr 1_avg'!$A$41,Input!$A$77:$A$82,0),MATCH('Residential Bills_Yr 1_avg'!N13:P13,Input!$C$76:$AL$76,0))</f>
        <v>1.43E-2</v>
      </c>
      <c r="O41" s="30">
        <f>P22+P38</f>
        <v>82.044772356597576</v>
      </c>
      <c r="P41" s="25">
        <f>ROUND(N41*O41,2)</f>
        <v>1.17</v>
      </c>
      <c r="R41" s="29">
        <f>INDEX(Input!$C$77:$AL$82,MATCH('Residential Bills_Yr 1_avg'!$A$41,Input!$A$77:$A$82,0),MATCH('Residential Bills_Yr 1_avg'!R13:T13,Input!$C$76:$AL$76,0))</f>
        <v>1.43E-2</v>
      </c>
      <c r="S41" s="30">
        <f>T22+T38</f>
        <v>82.044772356597576</v>
      </c>
      <c r="T41" s="25">
        <f>ROUND(R41*S41,2)</f>
        <v>1.17</v>
      </c>
      <c r="V41" s="29">
        <f>INDEX(Input!$C$77:$AL$82,MATCH('Residential Bills_Yr 1_avg'!$A$41,Input!$A$77:$A$82,0),MATCH('Residential Bills_Yr 1_avg'!V13:X13,Input!$C$76:$AL$76,0))</f>
        <v>1.43E-2</v>
      </c>
      <c r="W41" s="30">
        <f>X22+X38</f>
        <v>82.044772356597576</v>
      </c>
      <c r="X41" s="25">
        <f>ROUND(V41*W41,2)</f>
        <v>1.17</v>
      </c>
      <c r="Z41" s="29">
        <f>INDEX(Input!$C$77:$AL$82,MATCH('Residential Bills_Yr 1_avg'!$A$41,Input!$A$77:$A$82,0),MATCH('Residential Bills_Yr 1_avg'!Z13:AB13,Input!$C$76:$AL$76,0))</f>
        <v>1.43E-2</v>
      </c>
      <c r="AA41" s="30">
        <f>AB22+AB38</f>
        <v>82.044772356597576</v>
      </c>
      <c r="AB41" s="25">
        <f>ROUND(Z41*AA41,2)</f>
        <v>1.17</v>
      </c>
      <c r="AD41" s="29">
        <f>INDEX(Input!$C$77:$AL$82,MATCH('Residential Bills_Yr 1_avg'!$A$41,Input!$A$77:$A$82,0),MATCH('Residential Bills_Yr 1_avg'!AD13:AF13,Input!$C$76:$AL$76,0))</f>
        <v>1.43E-2</v>
      </c>
      <c r="AE41" s="30">
        <f>AF22+AF38</f>
        <v>82.044772356597576</v>
      </c>
      <c r="AF41" s="25">
        <f>ROUND(AD41*AE41,2)</f>
        <v>1.17</v>
      </c>
      <c r="AH41" s="29">
        <f>INDEX(Input!$C$77:$AL$82,MATCH('Residential Bills_Yr 1_avg'!$A$41,Input!$A$77:$A$82,0),MATCH('Residential Bills_Yr 1_avg'!AH13:AJ13,Input!$C$76:$AL$76,0))</f>
        <v>1.43E-2</v>
      </c>
      <c r="AI41" s="30">
        <f>AJ22+AJ38</f>
        <v>82.044772356597576</v>
      </c>
      <c r="AJ41" s="25">
        <f>ROUND(AH41*AI41,2)</f>
        <v>1.17</v>
      </c>
      <c r="AL41" s="29">
        <f>INDEX(Input!$C$77:$AL$82,MATCH('Residential Bills_Yr 1_avg'!$A$41,Input!$A$77:$A$82,0),MATCH('Residential Bills_Yr 1_avg'!AL13:AN13,Input!$C$76:$AL$76,0))</f>
        <v>1.43E-2</v>
      </c>
      <c r="AM41" s="30">
        <f>AN22+AN38</f>
        <v>82.044772356597576</v>
      </c>
      <c r="AN41" s="25">
        <f>ROUND(AL41*AM41,2)</f>
        <v>1.17</v>
      </c>
      <c r="AP41" s="29">
        <f>INDEX(Input!$C$77:$AL$82,MATCH('Residential Bills_Yr 1_avg'!$A$41,Input!$A$77:$A$82,0),MATCH('Residential Bills_Yr 1_avg'!AP13:AR13,Input!$C$76:$AL$76,0))</f>
        <v>1.43E-2</v>
      </c>
      <c r="AQ41" s="30">
        <f>AR22+AR38</f>
        <v>82.044772356597576</v>
      </c>
      <c r="AR41" s="25">
        <f>ROUND(AP41*AQ41,2)</f>
        <v>1.17</v>
      </c>
      <c r="AS41" s="30"/>
      <c r="AT41" s="29">
        <f>INDEX(Input!$C$77:$AL$82,MATCH('Residential Bills_Yr 1_avg'!$A$41,Input!$A$77:$A$82,0),MATCH('Residential Bills_Yr 1_avg'!AT13:AV13,Input!$C$76:$AL$76,0))</f>
        <v>1.43E-2</v>
      </c>
      <c r="AU41" s="30">
        <f>AV22+AV38</f>
        <v>82.044772356597576</v>
      </c>
      <c r="AV41" s="25">
        <f>ROUND(AT41*AU41,2)</f>
        <v>1.17</v>
      </c>
    </row>
    <row r="42" spans="1:48" ht="14.5" customHeight="1" x14ac:dyDescent="0.55000000000000004">
      <c r="A42" t="str">
        <f>+Input!A78</f>
        <v>CSJ UTT</v>
      </c>
      <c r="B42" s="29">
        <f>INDEX(Input!$C$77:$AL$82,MATCH('Residential Bills_Yr 1_avg'!$A$42,Input!$A$77:$A$82,0),MATCH('Residential Bills_Yr 1_avg'!B13,Input!$C$76:$AL$76,0))</f>
        <v>0.05</v>
      </c>
      <c r="C42" s="30">
        <f>D22+D38+D41</f>
        <v>83.214772356597578</v>
      </c>
      <c r="D42" s="25">
        <f>ROUND(B42*C42,2)</f>
        <v>4.16</v>
      </c>
      <c r="F42" s="29">
        <f>INDEX(Input!$C$77:$AL$82,MATCH('Residential Bills_Yr 1_avg'!$A$42,Input!$A$77:$A$82,0),MATCH('Residential Bills_Yr 1_avg'!F13,Input!$C$76:$AL$76,0))</f>
        <v>0.05</v>
      </c>
      <c r="G42" s="30">
        <f>H22+H38+H41</f>
        <v>83.214772356597578</v>
      </c>
      <c r="H42" s="25">
        <f>ROUND(F42*G42,2)</f>
        <v>4.16</v>
      </c>
      <c r="J42" s="29">
        <f>INDEX(Input!$C$77:$AL$82,MATCH('Residential Bills_Yr 1_avg'!$A$42,Input!$A$77:$A$82,0),MATCH('Residential Bills_Yr 1_avg'!J13,Input!$C$76:$AL$76,0))</f>
        <v>0.05</v>
      </c>
      <c r="K42" s="30">
        <f>L22+L38+L41</f>
        <v>83.214772356597578</v>
      </c>
      <c r="L42" s="25">
        <f>ROUND(J42*K42,2)</f>
        <v>4.16</v>
      </c>
      <c r="N42" s="29">
        <f>INDEX(Input!$C$77:$AL$82,MATCH('Residential Bills_Yr 1_avg'!$A$42,Input!$A$77:$A$82,0),MATCH('Residential Bills_Yr 1_avg'!N13,Input!$C$76:$AL$76,0))</f>
        <v>0.05</v>
      </c>
      <c r="O42" s="30">
        <f>P22+P38+P41</f>
        <v>83.214772356597578</v>
      </c>
      <c r="P42" s="25">
        <f>ROUND(N42*O42,2)</f>
        <v>4.16</v>
      </c>
      <c r="R42" s="29">
        <f>INDEX(Input!$C$77:$AL$82,MATCH('Residential Bills_Yr 1_avg'!$A$42,Input!$A$77:$A$82,0),MATCH('Residential Bills_Yr 1_avg'!R13,Input!$C$76:$AL$76,0))</f>
        <v>0.05</v>
      </c>
      <c r="S42" s="30">
        <f>T22+T38+T41</f>
        <v>83.214772356597578</v>
      </c>
      <c r="T42" s="25">
        <f>ROUND(R42*S42,2)</f>
        <v>4.16</v>
      </c>
      <c r="V42" s="29">
        <f>INDEX(Input!$C$77:$AL$82,MATCH('Residential Bills_Yr 1_avg'!$A$42,Input!$A$77:$A$82,0),MATCH('Residential Bills_Yr 1_avg'!V13,Input!$C$76:$AL$76,0))</f>
        <v>0.05</v>
      </c>
      <c r="W42" s="30">
        <f>X22+X38+X41</f>
        <v>83.214772356597578</v>
      </c>
      <c r="X42" s="25">
        <f>ROUND(V42*W42,2)</f>
        <v>4.16</v>
      </c>
      <c r="Z42" s="29">
        <f>INDEX(Input!$C$77:$AL$82,MATCH('Residential Bills_Yr 1_avg'!$A$42,Input!$A$77:$A$82,0),MATCH('Residential Bills_Yr 1_avg'!Z13,Input!$C$76:$AL$76,0))</f>
        <v>0.05</v>
      </c>
      <c r="AA42" s="30">
        <f>AB22+AB38+AB41</f>
        <v>83.214772356597578</v>
      </c>
      <c r="AB42" s="25">
        <f>ROUND(Z42*AA42,2)</f>
        <v>4.16</v>
      </c>
      <c r="AD42" s="29">
        <f>INDEX(Input!$C$77:$AL$82,MATCH('Residential Bills_Yr 1_avg'!$A$42,Input!$A$77:$A$82,0),MATCH('Residential Bills_Yr 1_avg'!AD13,Input!$C$76:$AL$76,0))</f>
        <v>0.05</v>
      </c>
      <c r="AE42" s="30">
        <f>AF22+AF38+AF41</f>
        <v>83.214772356597578</v>
      </c>
      <c r="AF42" s="25">
        <f>ROUND(AD42*AE42,2)</f>
        <v>4.16</v>
      </c>
      <c r="AH42" s="29">
        <f>INDEX(Input!$C$77:$AL$82,MATCH('Residential Bills_Yr 1_avg'!$A$42,Input!$A$77:$A$82,0),MATCH('Residential Bills_Yr 1_avg'!AH13,Input!$C$76:$AL$76,0))</f>
        <v>0.05</v>
      </c>
      <c r="AI42" s="30">
        <f>AJ22+AJ38+AJ41</f>
        <v>83.214772356597578</v>
      </c>
      <c r="AJ42" s="25">
        <f>ROUND(AH42*AI42,2)</f>
        <v>4.16</v>
      </c>
      <c r="AL42" s="29">
        <f>INDEX(Input!$C$77:$AL$82,MATCH('Residential Bills_Yr 1_avg'!$A$42,Input!$A$77:$A$82,0),MATCH('Residential Bills_Yr 1_avg'!AL13,Input!$C$76:$AL$76,0))</f>
        <v>0.05</v>
      </c>
      <c r="AM42" s="30">
        <f>AN22+AN38+AN41</f>
        <v>83.214772356597578</v>
      </c>
      <c r="AN42" s="25">
        <f>ROUND(AL42*AM42,2)</f>
        <v>4.16</v>
      </c>
      <c r="AP42" s="29">
        <f>INDEX(Input!$C$77:$AL$82,MATCH('Residential Bills_Yr 1_avg'!$A$42,Input!$A$77:$A$82,0),MATCH('Residential Bills_Yr 1_avg'!AP13,Input!$C$76:$AL$76,0))</f>
        <v>0.05</v>
      </c>
      <c r="AQ42" s="30">
        <f>AR22+AR38+AR41</f>
        <v>83.214772356597578</v>
      </c>
      <c r="AR42" s="25">
        <f>ROUND(AP42*AQ42,2)</f>
        <v>4.16</v>
      </c>
      <c r="AS42" s="17"/>
      <c r="AT42" s="29">
        <f>INDEX(Input!$C$77:$AL$82,MATCH('Residential Bills_Yr 1_avg'!$A$42,Input!$A$77:$A$82,0),MATCH('Residential Bills_Yr 1_avg'!AT13,Input!$C$76:$AL$76,0))</f>
        <v>0.05</v>
      </c>
      <c r="AU42" s="30">
        <f>AV22+AV38+AV41</f>
        <v>83.214772356597578</v>
      </c>
      <c r="AV42" s="25">
        <f>ROUND(AT42*AU42,2)</f>
        <v>4.16</v>
      </c>
    </row>
    <row r="43" spans="1:48" ht="14.5" customHeight="1" x14ac:dyDescent="0.55000000000000004">
      <c r="A43" t="str">
        <f>+Input!A79</f>
        <v>Reserved</v>
      </c>
      <c r="B43" s="16"/>
      <c r="C43" s="17"/>
      <c r="D43" s="19"/>
      <c r="F43" s="16"/>
      <c r="G43" s="17"/>
      <c r="H43" s="19"/>
      <c r="J43" s="16"/>
      <c r="K43" s="17"/>
      <c r="L43" s="19"/>
      <c r="N43" s="16"/>
      <c r="O43" s="17"/>
      <c r="P43" s="19"/>
      <c r="R43" s="16"/>
      <c r="S43" s="17"/>
      <c r="T43" s="19"/>
      <c r="V43" s="16"/>
      <c r="W43" s="17"/>
      <c r="X43" s="19"/>
      <c r="Z43" s="16"/>
      <c r="AA43" s="17"/>
      <c r="AB43" s="19"/>
      <c r="AD43" s="16"/>
      <c r="AE43" s="17"/>
      <c r="AF43" s="19"/>
      <c r="AH43" s="16"/>
      <c r="AI43" s="17"/>
      <c r="AJ43" s="19"/>
      <c r="AL43" s="16"/>
      <c r="AM43" s="17"/>
      <c r="AN43" s="19"/>
      <c r="AP43" s="16"/>
      <c r="AQ43" s="17"/>
      <c r="AR43" s="19"/>
      <c r="AS43" s="17"/>
      <c r="AT43" s="16"/>
      <c r="AU43" s="17"/>
      <c r="AV43" s="19"/>
    </row>
    <row r="44" spans="1:48" ht="14.5" customHeight="1" x14ac:dyDescent="0.55000000000000004">
      <c r="A44" t="str">
        <f>+Input!A80</f>
        <v>Reserved</v>
      </c>
      <c r="B44" s="16"/>
      <c r="C44" s="17"/>
      <c r="D44" s="19"/>
      <c r="F44" s="16"/>
      <c r="G44" s="17"/>
      <c r="H44" s="19"/>
      <c r="J44" s="16"/>
      <c r="K44" s="17"/>
      <c r="L44" s="19"/>
      <c r="N44" s="16"/>
      <c r="O44" s="17"/>
      <c r="P44" s="19"/>
      <c r="R44" s="16"/>
      <c r="S44" s="17"/>
      <c r="T44" s="19"/>
      <c r="V44" s="16"/>
      <c r="W44" s="17"/>
      <c r="X44" s="19"/>
      <c r="Z44" s="16"/>
      <c r="AA44" s="17"/>
      <c r="AB44" s="19"/>
      <c r="AD44" s="16"/>
      <c r="AE44" s="17"/>
      <c r="AF44" s="19"/>
      <c r="AH44" s="16"/>
      <c r="AI44" s="17"/>
      <c r="AJ44" s="19"/>
      <c r="AL44" s="16"/>
      <c r="AM44" s="17"/>
      <c r="AN44" s="19"/>
      <c r="AP44" s="16"/>
      <c r="AQ44" s="17"/>
      <c r="AR44" s="19"/>
      <c r="AS44" s="17"/>
      <c r="AT44" s="16"/>
      <c r="AU44" s="17"/>
      <c r="AV44" s="19"/>
    </row>
    <row r="45" spans="1:48" ht="14.5" customHeight="1" x14ac:dyDescent="0.55000000000000004">
      <c r="A45" t="str">
        <f>+Input!A81</f>
        <v>Reserved</v>
      </c>
      <c r="B45" s="16"/>
      <c r="C45" s="17"/>
      <c r="D45" s="19"/>
      <c r="F45" s="16"/>
      <c r="G45" s="17"/>
      <c r="H45" s="19"/>
      <c r="J45" s="16"/>
      <c r="K45" s="17"/>
      <c r="L45" s="19"/>
      <c r="N45" s="16"/>
      <c r="O45" s="17"/>
      <c r="P45" s="19"/>
      <c r="R45" s="16"/>
      <c r="S45" s="17"/>
      <c r="T45" s="19"/>
      <c r="V45" s="16"/>
      <c r="W45" s="17"/>
      <c r="X45" s="19"/>
      <c r="Z45" s="16"/>
      <c r="AA45" s="17"/>
      <c r="AB45" s="19"/>
      <c r="AD45" s="16"/>
      <c r="AE45" s="17"/>
      <c r="AF45" s="19"/>
      <c r="AH45" s="16"/>
      <c r="AI45" s="17"/>
      <c r="AJ45" s="19"/>
      <c r="AL45" s="16"/>
      <c r="AM45" s="17"/>
      <c r="AN45" s="19"/>
      <c r="AP45" s="16"/>
      <c r="AQ45" s="17"/>
      <c r="AR45" s="19"/>
      <c r="AS45" s="17"/>
      <c r="AT45" s="16"/>
      <c r="AU45" s="17"/>
      <c r="AV45" s="19"/>
    </row>
    <row r="46" spans="1:48" ht="14.5" customHeight="1" x14ac:dyDescent="0.55000000000000004">
      <c r="A46" t="str">
        <f>+Input!A82</f>
        <v>Reserved</v>
      </c>
      <c r="B46" s="16"/>
      <c r="C46" s="17"/>
      <c r="D46" s="19"/>
      <c r="F46" s="16"/>
      <c r="G46" s="17"/>
      <c r="H46" s="19"/>
      <c r="J46" s="16"/>
      <c r="K46" s="17"/>
      <c r="L46" s="19"/>
      <c r="N46" s="16"/>
      <c r="O46" s="17"/>
      <c r="P46" s="19"/>
      <c r="R46" s="16"/>
      <c r="S46" s="17"/>
      <c r="T46" s="19"/>
      <c r="V46" s="16"/>
      <c r="W46" s="17"/>
      <c r="X46" s="19"/>
      <c r="Z46" s="16"/>
      <c r="AA46" s="17"/>
      <c r="AB46" s="19"/>
      <c r="AD46" s="16"/>
      <c r="AE46" s="17"/>
      <c r="AF46" s="19"/>
      <c r="AH46" s="16"/>
      <c r="AI46" s="17"/>
      <c r="AJ46" s="19"/>
      <c r="AL46" s="16"/>
      <c r="AM46" s="17"/>
      <c r="AN46" s="19"/>
      <c r="AP46" s="16"/>
      <c r="AQ46" s="17"/>
      <c r="AR46" s="19"/>
      <c r="AS46" s="17"/>
      <c r="AT46" s="16"/>
      <c r="AU46" s="17"/>
      <c r="AV46" s="19"/>
    </row>
    <row r="47" spans="1:48" x14ac:dyDescent="0.55000000000000004">
      <c r="A47" t="s">
        <v>39</v>
      </c>
      <c r="B47" s="16"/>
      <c r="C47" s="17"/>
      <c r="D47" s="19"/>
      <c r="F47" s="16"/>
      <c r="G47" s="17"/>
      <c r="H47" s="19"/>
      <c r="J47" s="16"/>
      <c r="K47" s="17"/>
      <c r="L47" s="19"/>
      <c r="N47" s="16"/>
      <c r="O47" s="17"/>
      <c r="P47" s="19"/>
      <c r="R47" s="16"/>
      <c r="S47" s="17"/>
      <c r="T47" s="19"/>
      <c r="V47" s="16"/>
      <c r="W47" s="17"/>
      <c r="X47" s="19"/>
      <c r="Z47" s="16"/>
      <c r="AA47" s="17"/>
      <c r="AB47" s="19"/>
      <c r="AD47" s="16"/>
      <c r="AE47" s="17"/>
      <c r="AF47" s="19"/>
      <c r="AH47" s="16"/>
      <c r="AI47" s="17"/>
      <c r="AJ47" s="19"/>
      <c r="AL47" s="16"/>
      <c r="AM47" s="17"/>
      <c r="AN47" s="19"/>
      <c r="AP47" s="16"/>
      <c r="AQ47" s="17"/>
      <c r="AR47" s="19"/>
      <c r="AS47" s="17"/>
      <c r="AT47" s="16"/>
      <c r="AU47" s="17"/>
      <c r="AV47" s="19"/>
    </row>
    <row r="48" spans="1:48" x14ac:dyDescent="0.55000000000000004">
      <c r="B48" s="16"/>
      <c r="C48" s="17"/>
      <c r="D48" s="19"/>
      <c r="F48" s="16"/>
      <c r="G48" s="17"/>
      <c r="H48" s="19"/>
      <c r="J48" s="16"/>
      <c r="K48" s="17"/>
      <c r="L48" s="19"/>
      <c r="N48" s="16"/>
      <c r="O48" s="17"/>
      <c r="P48" s="19"/>
      <c r="R48" s="16"/>
      <c r="S48" s="17"/>
      <c r="T48" s="19"/>
      <c r="V48" s="16"/>
      <c r="W48" s="17"/>
      <c r="X48" s="19"/>
      <c r="Z48" s="16"/>
      <c r="AA48" s="17"/>
      <c r="AB48" s="19"/>
      <c r="AD48" s="16"/>
      <c r="AE48" s="17"/>
      <c r="AF48" s="19"/>
      <c r="AH48" s="16"/>
      <c r="AI48" s="17"/>
      <c r="AJ48" s="19"/>
      <c r="AL48" s="16"/>
      <c r="AM48" s="17"/>
      <c r="AN48" s="19"/>
      <c r="AP48" s="16"/>
      <c r="AQ48" s="17"/>
      <c r="AR48" s="19"/>
      <c r="AS48" s="17"/>
      <c r="AT48" s="16"/>
      <c r="AU48" s="17"/>
      <c r="AV48" s="19"/>
    </row>
    <row r="49" spans="1:48" ht="14.7" thickBot="1" x14ac:dyDescent="0.6">
      <c r="A49" t="s">
        <v>40</v>
      </c>
      <c r="B49" s="27"/>
      <c r="C49" s="28"/>
      <c r="D49" s="32">
        <f>D22+D38+D41+D42</f>
        <v>87.374772356597575</v>
      </c>
      <c r="F49" s="27"/>
      <c r="G49" s="28"/>
      <c r="H49" s="32">
        <f>H22+H38+H41+H42</f>
        <v>87.374772356597575</v>
      </c>
      <c r="J49" s="27"/>
      <c r="K49" s="28"/>
      <c r="L49" s="32">
        <f>L22+L38+L41+L42</f>
        <v>87.374772356597575</v>
      </c>
      <c r="N49" s="27"/>
      <c r="O49" s="28"/>
      <c r="P49" s="32">
        <f>P22+P38+P41+P42</f>
        <v>87.374772356597575</v>
      </c>
      <c r="R49" s="27"/>
      <c r="S49" s="28"/>
      <c r="T49" s="32">
        <f>T22+T38+T41+T42</f>
        <v>87.374772356597575</v>
      </c>
      <c r="V49" s="27"/>
      <c r="W49" s="28"/>
      <c r="X49" s="32">
        <f>X22+X38+X41+X42</f>
        <v>87.374772356597575</v>
      </c>
      <c r="Z49" s="27"/>
      <c r="AA49" s="28"/>
      <c r="AB49" s="32">
        <f>AB22+AB38+AB41+AB42</f>
        <v>87.374772356597575</v>
      </c>
      <c r="AD49" s="27"/>
      <c r="AE49" s="28"/>
      <c r="AF49" s="32">
        <f>AF22+AF38+AF41+AF42</f>
        <v>87.374772356597575</v>
      </c>
      <c r="AH49" s="27"/>
      <c r="AI49" s="28"/>
      <c r="AJ49" s="32">
        <f>AJ22+AJ38+AJ41+AJ42</f>
        <v>87.374772356597575</v>
      </c>
      <c r="AL49" s="27"/>
      <c r="AM49" s="28"/>
      <c r="AN49" s="32">
        <f>AN22+AN38+AN41+AN42</f>
        <v>87.374772356597575</v>
      </c>
      <c r="AP49" s="27"/>
      <c r="AQ49" s="28"/>
      <c r="AR49" s="32">
        <f>AR22+AR38+AR41+AR42</f>
        <v>87.374772356597575</v>
      </c>
      <c r="AS49" s="176"/>
      <c r="AT49" s="27"/>
      <c r="AU49" s="28"/>
      <c r="AV49" s="32">
        <f>AV22+AV38+AV41+AV42</f>
        <v>87.374772356597575</v>
      </c>
    </row>
    <row r="51" spans="1:48" x14ac:dyDescent="0.55000000000000004">
      <c r="A51" t="s">
        <v>81</v>
      </c>
    </row>
    <row r="52" spans="1:48" ht="14.7" thickBot="1" x14ac:dyDescent="0.6"/>
    <row r="53" spans="1:48" x14ac:dyDescent="0.55000000000000004">
      <c r="A53" s="11" t="s">
        <v>83</v>
      </c>
      <c r="B53" s="12">
        <f>B5</f>
        <v>2024</v>
      </c>
    </row>
    <row r="54" spans="1:48" x14ac:dyDescent="0.55000000000000004">
      <c r="A54" s="13" t="s">
        <v>6</v>
      </c>
      <c r="B54" s="14" t="str">
        <f>B6</f>
        <v>3/4"</v>
      </c>
    </row>
    <row r="55" spans="1:48" x14ac:dyDescent="0.55000000000000004">
      <c r="A55" s="13" t="s">
        <v>41</v>
      </c>
      <c r="B55" s="14">
        <f>B7</f>
        <v>6</v>
      </c>
    </row>
    <row r="56" spans="1:48" x14ac:dyDescent="0.55000000000000004">
      <c r="A56" s="13" t="s">
        <v>8</v>
      </c>
      <c r="B56" s="14" t="str">
        <f>B8</f>
        <v>Residential</v>
      </c>
    </row>
    <row r="57" spans="1:48" x14ac:dyDescent="0.55000000000000004">
      <c r="A57" s="13" t="s">
        <v>89</v>
      </c>
      <c r="B57" s="14" t="s">
        <v>26</v>
      </c>
    </row>
    <row r="58" spans="1:48" x14ac:dyDescent="0.55000000000000004">
      <c r="A58" s="13" t="s">
        <v>51</v>
      </c>
      <c r="B58" s="14" t="str">
        <f>B10</f>
        <v>San Jose Water Company</v>
      </c>
    </row>
    <row r="59" spans="1:48" ht="14.7" thickBot="1" x14ac:dyDescent="0.6">
      <c r="A59" s="15" t="s">
        <v>28</v>
      </c>
      <c r="B59" s="35" t="str">
        <f>B11</f>
        <v>San Jose Water Company</v>
      </c>
    </row>
    <row r="60" spans="1:48" ht="14.7" thickBot="1" x14ac:dyDescent="0.6">
      <c r="A60" s="34"/>
      <c r="B60" s="24"/>
    </row>
    <row r="61" spans="1:48" ht="14.7" thickBot="1" x14ac:dyDescent="0.6">
      <c r="A61" s="1"/>
      <c r="B61" s="209" t="str">
        <f>CONCATENATE("January"," ",$B$5)</f>
        <v>January 2024</v>
      </c>
      <c r="C61" s="210"/>
      <c r="D61" s="211"/>
      <c r="F61" s="209" t="str">
        <f>CONCATENATE("February"," ",$B$5)</f>
        <v>February 2024</v>
      </c>
      <c r="G61" s="210"/>
      <c r="H61" s="211"/>
      <c r="J61" s="209" t="str">
        <f>CONCATENATE("March"," ",$B$5)</f>
        <v>March 2024</v>
      </c>
      <c r="K61" s="210"/>
      <c r="L61" s="211"/>
      <c r="N61" s="209" t="str">
        <f>CONCATENATE("April"," ",$B$5)</f>
        <v>April 2024</v>
      </c>
      <c r="O61" s="210"/>
      <c r="P61" s="211"/>
      <c r="R61" s="209" t="str">
        <f>CONCATENATE("May"," ",$B$5)</f>
        <v>May 2024</v>
      </c>
      <c r="S61" s="210"/>
      <c r="T61" s="211"/>
      <c r="V61" s="209" t="str">
        <f>CONCATENATE("June"," ",$B$5)</f>
        <v>June 2024</v>
      </c>
      <c r="W61" s="210"/>
      <c r="X61" s="211"/>
      <c r="Z61" s="209" t="str">
        <f>CONCATENATE("July"," ",$B$5)</f>
        <v>July 2024</v>
      </c>
      <c r="AA61" s="210"/>
      <c r="AB61" s="211"/>
      <c r="AD61" s="209" t="str">
        <f>CONCATENATE("August"," ",$B$5)</f>
        <v>August 2024</v>
      </c>
      <c r="AE61" s="210"/>
      <c r="AF61" s="211"/>
      <c r="AH61" s="209" t="str">
        <f>CONCATENATE("September"," ",$B$5)</f>
        <v>September 2024</v>
      </c>
      <c r="AI61" s="210"/>
      <c r="AJ61" s="211"/>
      <c r="AL61" s="209" t="str">
        <f>CONCATENATE("October"," ",$B$5)</f>
        <v>October 2024</v>
      </c>
      <c r="AM61" s="210"/>
      <c r="AN61" s="211"/>
      <c r="AP61" s="209" t="str">
        <f>CONCATENATE("November"," ",$B$5)</f>
        <v>November 2024</v>
      </c>
      <c r="AQ61" s="210"/>
      <c r="AR61" s="211"/>
      <c r="AS61" s="171"/>
      <c r="AT61" s="209" t="str">
        <f>CONCATENATE("December"," ",$B$5)</f>
        <v>December 2024</v>
      </c>
      <c r="AU61" s="210"/>
      <c r="AV61" s="211"/>
    </row>
    <row r="62" spans="1:48" x14ac:dyDescent="0.55000000000000004">
      <c r="A62" s="1" t="s">
        <v>5</v>
      </c>
      <c r="B62" s="16"/>
      <c r="C62" s="17"/>
      <c r="D62" s="18">
        <f>INDEX(Input!$C$28:$AL$42,MATCH('Residential Bills_Yr 3_6 Units'!$B$54,Input!$A$28:$A$42,0),MATCH('Residential Bills_Yr 3_6 Units'!B$61,Input!$C$27:$AL$27,0))</f>
        <v>54.784772356597571</v>
      </c>
      <c r="F62" s="16"/>
      <c r="G62" s="17"/>
      <c r="H62" s="18">
        <f>INDEX(Input!$C$28:$AL$42,MATCH('Residential Bills_Yr 3_6 Units'!$B$54,Input!$A$28:$A$42,0),MATCH('Residential Bills_Yr 3_6 Units'!F$61,Input!$C$27:$AL$27,0))</f>
        <v>54.784772356597571</v>
      </c>
      <c r="J62" s="16"/>
      <c r="K62" s="17"/>
      <c r="L62" s="18">
        <f>INDEX(Input!$C$28:$AL$42,MATCH('Residential Bills_Yr 3_6 Units'!$B$54,Input!$A$28:$A$42,0),MATCH('Residential Bills_Yr 3_6 Units'!J$61,Input!$C$27:$AL$27,0))</f>
        <v>54.784772356597571</v>
      </c>
      <c r="N62" s="16"/>
      <c r="O62" s="17"/>
      <c r="P62" s="18">
        <f>INDEX(Input!$C$28:$AL$42,MATCH('Residential Bills_Yr 3_6 Units'!$B$54,Input!$A$28:$A$42,0),MATCH('Residential Bills_Yr 3_6 Units'!N$61,Input!$C$27:$AL$27,0))</f>
        <v>54.784772356597571</v>
      </c>
      <c r="R62" s="16"/>
      <c r="S62" s="17"/>
      <c r="T62" s="18">
        <f>INDEX(Input!$C$28:$AL$42,MATCH('Residential Bills_Yr 3_6 Units'!$B$54,Input!$A$28:$A$42,0),MATCH('Residential Bills_Yr 3_6 Units'!R$61,Input!$C$27:$AL$27,0))</f>
        <v>54.784772356597571</v>
      </c>
      <c r="V62" s="16"/>
      <c r="W62" s="17"/>
      <c r="X62" s="18">
        <f>INDEX(Input!$C$28:$AL$42,MATCH('Residential Bills_Yr 3_6 Units'!$B$54,Input!$A$28:$A$42,0),MATCH('Residential Bills_Yr 3_6 Units'!V$61,Input!$C$27:$AL$27,0))</f>
        <v>54.784772356597571</v>
      </c>
      <c r="Z62" s="16"/>
      <c r="AA62" s="17"/>
      <c r="AB62" s="18">
        <f>INDEX(Input!$C$28:$AL$42,MATCH('Residential Bills_Yr 3_6 Units'!$B$54,Input!$A$28:$A$42,0),MATCH('Residential Bills_Yr 3_6 Units'!Z$61,Input!$C$27:$AL$27,0))</f>
        <v>54.784772356597571</v>
      </c>
      <c r="AD62" s="16"/>
      <c r="AE62" s="17"/>
      <c r="AF62" s="18">
        <f>INDEX(Input!$C$28:$AL$42,MATCH('Residential Bills_Yr 3_6 Units'!$B$54,Input!$A$28:$A$42,0),MATCH('Residential Bills_Yr 3_6 Units'!AD$61,Input!$C$27:$AL$27,0))</f>
        <v>54.784772356597571</v>
      </c>
      <c r="AH62" s="16"/>
      <c r="AI62" s="17"/>
      <c r="AJ62" s="18">
        <f>INDEX(Input!$C$28:$AL$42,MATCH('Residential Bills_Yr 3_6 Units'!$B$54,Input!$A$28:$A$42,0),MATCH('Residential Bills_Yr 3_6 Units'!AH$61,Input!$C$27:$AL$27,0))</f>
        <v>54.784772356597571</v>
      </c>
      <c r="AL62" s="16"/>
      <c r="AM62" s="17"/>
      <c r="AN62" s="18">
        <f>INDEX(Input!$C$28:$AL$42,MATCH('Residential Bills_Yr 3_6 Units'!$B$54,Input!$A$28:$A$42,0),MATCH('Residential Bills_Yr 3_6 Units'!AL$61,Input!$C$27:$AL$27,0))</f>
        <v>54.784772356597571</v>
      </c>
      <c r="AP62" s="16"/>
      <c r="AQ62" s="17"/>
      <c r="AR62" s="18">
        <f>INDEX(Input!$C$28:$AL$42,MATCH('Residential Bills_Yr 3_6 Units'!$B$54,Input!$A$28:$A$42,0),MATCH('Residential Bills_Yr 3_6 Units'!AP$61,Input!$C$27:$AL$27,0))</f>
        <v>54.784772356597571</v>
      </c>
      <c r="AS62" s="175"/>
      <c r="AT62" s="16"/>
      <c r="AU62" s="17"/>
      <c r="AV62" s="18">
        <f>INDEX(Input!$C$28:$AL$42,MATCH('Residential Bills_Yr 3_6 Units'!$B$54,Input!$A$28:$A$42,0),MATCH('Residential Bills_Yr 3_6 Units'!AT$61,Input!$C$27:$AL$27,0))</f>
        <v>54.784772356597571</v>
      </c>
    </row>
    <row r="63" spans="1:48" x14ac:dyDescent="0.55000000000000004">
      <c r="B63" s="16"/>
      <c r="C63" s="17"/>
      <c r="D63" s="19"/>
      <c r="F63" s="16"/>
      <c r="G63" s="17"/>
      <c r="H63" s="19"/>
      <c r="J63" s="16"/>
      <c r="K63" s="17"/>
      <c r="L63" s="19"/>
      <c r="N63" s="16"/>
      <c r="O63" s="17"/>
      <c r="P63" s="19"/>
      <c r="R63" s="16"/>
      <c r="S63" s="17"/>
      <c r="T63" s="19"/>
      <c r="V63" s="16"/>
      <c r="W63" s="17"/>
      <c r="X63" s="19"/>
      <c r="Z63" s="16"/>
      <c r="AA63" s="17"/>
      <c r="AB63" s="19"/>
      <c r="AD63" s="16"/>
      <c r="AE63" s="17"/>
      <c r="AF63" s="19"/>
      <c r="AH63" s="16"/>
      <c r="AI63" s="17"/>
      <c r="AJ63" s="19"/>
      <c r="AL63" s="16"/>
      <c r="AM63" s="17"/>
      <c r="AN63" s="19"/>
      <c r="AP63" s="16"/>
      <c r="AQ63" s="17"/>
      <c r="AR63" s="19"/>
      <c r="AS63" s="17"/>
      <c r="AT63" s="16"/>
      <c r="AU63" s="17"/>
      <c r="AV63" s="19"/>
    </row>
    <row r="64" spans="1:48" ht="16.5" customHeight="1" x14ac:dyDescent="0.55000000000000004">
      <c r="A64" s="1" t="s">
        <v>33</v>
      </c>
      <c r="B64" s="20" t="s">
        <v>29</v>
      </c>
      <c r="C64" s="21" t="s">
        <v>7</v>
      </c>
      <c r="D64" s="22" t="s">
        <v>30</v>
      </c>
      <c r="F64" s="20" t="s">
        <v>29</v>
      </c>
      <c r="G64" s="21" t="s">
        <v>7</v>
      </c>
      <c r="H64" s="111" t="s">
        <v>30</v>
      </c>
      <c r="J64" s="20" t="s">
        <v>29</v>
      </c>
      <c r="K64" s="21" t="s">
        <v>7</v>
      </c>
      <c r="L64" s="111" t="s">
        <v>30</v>
      </c>
      <c r="N64" s="20" t="s">
        <v>29</v>
      </c>
      <c r="O64" s="21" t="s">
        <v>7</v>
      </c>
      <c r="P64" s="111" t="s">
        <v>30</v>
      </c>
      <c r="R64" s="20" t="s">
        <v>29</v>
      </c>
      <c r="S64" s="21" t="s">
        <v>7</v>
      </c>
      <c r="T64" s="111" t="s">
        <v>30</v>
      </c>
      <c r="V64" s="20" t="s">
        <v>29</v>
      </c>
      <c r="W64" s="21" t="s">
        <v>7</v>
      </c>
      <c r="X64" s="111" t="s">
        <v>30</v>
      </c>
      <c r="Z64" s="20" t="s">
        <v>29</v>
      </c>
      <c r="AA64" s="21" t="s">
        <v>7</v>
      </c>
      <c r="AB64" s="111" t="s">
        <v>30</v>
      </c>
      <c r="AD64" s="20" t="s">
        <v>29</v>
      </c>
      <c r="AE64" s="21" t="s">
        <v>7</v>
      </c>
      <c r="AF64" s="111" t="s">
        <v>30</v>
      </c>
      <c r="AH64" s="20" t="s">
        <v>29</v>
      </c>
      <c r="AI64" s="21" t="s">
        <v>7</v>
      </c>
      <c r="AJ64" s="111" t="s">
        <v>30</v>
      </c>
      <c r="AL64" s="20" t="s">
        <v>29</v>
      </c>
      <c r="AM64" s="21" t="s">
        <v>7</v>
      </c>
      <c r="AN64" s="111" t="s">
        <v>30</v>
      </c>
      <c r="AP64" s="20" t="s">
        <v>29</v>
      </c>
      <c r="AQ64" s="21" t="s">
        <v>7</v>
      </c>
      <c r="AR64" s="111" t="s">
        <v>30</v>
      </c>
      <c r="AS64" s="170"/>
      <c r="AT64" s="20" t="s">
        <v>29</v>
      </c>
      <c r="AU64" s="21" t="s">
        <v>7</v>
      </c>
      <c r="AV64" s="111" t="s">
        <v>30</v>
      </c>
    </row>
    <row r="65" spans="1:48" x14ac:dyDescent="0.55000000000000004">
      <c r="A65" t="str">
        <f>A17</f>
        <v>Tier 1</v>
      </c>
      <c r="B65" s="23">
        <f>INDEX(Input!$C$21:$AL$25,MATCH('Residential Bills_Yr 3_6 Units'!$A65,Input!$A$21:$A$25,0),MATCH('Residential Bills_Yr 3_6 Units'!B$61,Input!$C$20:$AL$20,0))</f>
        <v>4.2841030680439296</v>
      </c>
      <c r="C65" s="24">
        <f>IF($B$55&gt;Input!F101,Input!F101,'Residential Bills_Yr 3_6 Units'!$B$55)</f>
        <v>6</v>
      </c>
      <c r="D65" s="25">
        <f>ROUND(IFERROR(B65*C65," "),2)</f>
        <v>25.7</v>
      </c>
      <c r="F65" s="23">
        <f>INDEX(Input!$C$21:$AL$25,MATCH('Residential Bills_Yr 3_6 Units'!$A65,Input!$A$21:$A$25,0),MATCH('Residential Bills_Yr 3_6 Units'!F$61,Input!$C$20:$AL$20,0))</f>
        <v>4.2841030680439296</v>
      </c>
      <c r="G65" s="24">
        <f>IF($B$55&gt;Input!G101,Input!G101,'Residential Bills_Yr 3_6 Units'!$B$55)</f>
        <v>6</v>
      </c>
      <c r="H65" s="25">
        <f>ROUND(IFERROR(F65*G65," "),2)</f>
        <v>25.7</v>
      </c>
      <c r="J65" s="23">
        <f>INDEX(Input!$C$21:$AL$25,MATCH('Residential Bills_Yr 3_6 Units'!$A65,Input!$A$21:$A$25,0),MATCH('Residential Bills_Yr 3_6 Units'!J$61,Input!$C$20:$AL$20,0))</f>
        <v>4.2841030680439296</v>
      </c>
      <c r="K65" s="24">
        <f>IF($B$55&gt;Input!H101,Input!H101,'Residential Bills_Yr 3_6 Units'!$B$55)</f>
        <v>6</v>
      </c>
      <c r="L65" s="25">
        <f>ROUND(IFERROR(J65*K65," "),2)</f>
        <v>25.7</v>
      </c>
      <c r="N65" s="23">
        <f>INDEX(Input!$C$21:$AL$25,MATCH('Residential Bills_Yr 3_6 Units'!$A65,Input!$A$21:$A$25,0),MATCH('Residential Bills_Yr 3_6 Units'!N$61,Input!$C$20:$AL$20,0))</f>
        <v>4.2841030680439296</v>
      </c>
      <c r="O65" s="24">
        <f>IF($B$55&gt;Input!I101,Input!I101,'Residential Bills_Yr 3_6 Units'!$B$55)</f>
        <v>6</v>
      </c>
      <c r="P65" s="25">
        <f>ROUND(IFERROR(N65*O65," "),2)</f>
        <v>25.7</v>
      </c>
      <c r="R65" s="23">
        <f>INDEX(Input!$C$21:$AL$25,MATCH('Residential Bills_Yr 3_6 Units'!$A65,Input!$A$21:$A$25,0),MATCH('Residential Bills_Yr 3_6 Units'!R$61,Input!$C$20:$AL$20,0))</f>
        <v>4.2841030680439296</v>
      </c>
      <c r="S65" s="24">
        <f>IF($B$55&gt;Input!J101,Input!J101,'Residential Bills_Yr 3_6 Units'!$B$55)</f>
        <v>6</v>
      </c>
      <c r="T65" s="25">
        <f>ROUND(IFERROR(R65*S65," "),2)</f>
        <v>25.7</v>
      </c>
      <c r="V65" s="23">
        <f>INDEX(Input!$C$21:$AL$25,MATCH('Residential Bills_Yr 3_6 Units'!$A65,Input!$A$21:$A$25,0),MATCH('Residential Bills_Yr 3_6 Units'!V$61,Input!$C$20:$AL$20,0))</f>
        <v>4.2841030680439296</v>
      </c>
      <c r="W65" s="24">
        <f>IF($B$55&gt;Input!K101,Input!K101,'Residential Bills_Yr 3_6 Units'!$B$55)</f>
        <v>6</v>
      </c>
      <c r="X65" s="25">
        <f>ROUND(IFERROR(V65*W65," "),2)</f>
        <v>25.7</v>
      </c>
      <c r="Z65" s="23">
        <f>INDEX(Input!$C$21:$AL$25,MATCH('Residential Bills_Yr 3_6 Units'!$A65,Input!$A$21:$A$25,0),MATCH('Residential Bills_Yr 3_6 Units'!Z$61,Input!$C$20:$AL$20,0))</f>
        <v>4.2841030680439296</v>
      </c>
      <c r="AA65" s="24">
        <f>IF($B$55&gt;Input!L101,Input!L101,'Residential Bills_Yr 3_6 Units'!$B$55)</f>
        <v>6</v>
      </c>
      <c r="AB65" s="25">
        <f>ROUND(IFERROR(Z65*AA65," "),2)</f>
        <v>25.7</v>
      </c>
      <c r="AD65" s="23">
        <f>INDEX(Input!$C$21:$AL$25,MATCH('Residential Bills_Yr 3_6 Units'!$A65,Input!$A$21:$A$25,0),MATCH('Residential Bills_Yr 3_6 Units'!AD$61,Input!$C$20:$AL$20,0))</f>
        <v>4.2841030680439296</v>
      </c>
      <c r="AE65" s="24">
        <f>IF($B$55&gt;Input!M101,Input!M101,'Residential Bills_Yr 3_6 Units'!$B$55)</f>
        <v>6</v>
      </c>
      <c r="AF65" s="25">
        <f>ROUND(IFERROR(AD65*AE65," "),2)</f>
        <v>25.7</v>
      </c>
      <c r="AH65" s="23">
        <f>INDEX(Input!$C$21:$AL$25,MATCH('Residential Bills_Yr 3_6 Units'!$A65,Input!$A$21:$A$25,0),MATCH('Residential Bills_Yr 3_6 Units'!AH$61,Input!$C$20:$AL$20,0))</f>
        <v>4.2841030680439296</v>
      </c>
      <c r="AI65" s="24">
        <f>IF($B$55&gt;Input!N101,Input!N101,'Residential Bills_Yr 3_6 Units'!$B$55)</f>
        <v>6</v>
      </c>
      <c r="AJ65" s="25">
        <f>ROUND(IFERROR(AH65*AI65," "),2)</f>
        <v>25.7</v>
      </c>
      <c r="AL65" s="23">
        <f>INDEX(Input!$C$21:$AL$25,MATCH('Residential Bills_Yr 3_6 Units'!$A65,Input!$A$21:$A$25,0),MATCH('Residential Bills_Yr 3_6 Units'!AL$61,Input!$C$20:$AL$20,0))</f>
        <v>4.2841030680439296</v>
      </c>
      <c r="AM65" s="24">
        <f>IF($B$55&gt;Input!O101,Input!O101,'Residential Bills_Yr 3_6 Units'!$B$55)</f>
        <v>6</v>
      </c>
      <c r="AN65" s="25">
        <f>ROUND(IFERROR(AL65*AM65," "),2)</f>
        <v>25.7</v>
      </c>
      <c r="AP65" s="23">
        <f>INDEX(Input!$C$21:$AL$25,MATCH('Residential Bills_Yr 3_6 Units'!$A65,Input!$A$21:$A$25,0),MATCH('Residential Bills_Yr 3_6 Units'!AP$61,Input!$C$20:$AL$20,0))</f>
        <v>4.2841030680439296</v>
      </c>
      <c r="AQ65" s="24">
        <f>IF($B$55&gt;Input!P101,Input!P101,'Residential Bills_Yr 3_6 Units'!$B$55)</f>
        <v>6</v>
      </c>
      <c r="AR65" s="25">
        <f>ROUND(IFERROR(AP65*AQ65," "),2)</f>
        <v>25.7</v>
      </c>
      <c r="AS65" s="30"/>
      <c r="AT65" s="23">
        <f>INDEX(Input!$C$21:$AL$25,MATCH('Residential Bills_Yr 3_6 Units'!$A65,Input!$A$21:$A$25,0),MATCH('Residential Bills_Yr 3_6 Units'!AT$61,Input!$C$20:$AL$20,0))</f>
        <v>4.2841030680439296</v>
      </c>
      <c r="AU65" s="24">
        <f>IF($B$55&gt;Input!Q101,Input!Q101,'Residential Bills_Yr 3_6 Units'!$B$55)</f>
        <v>6</v>
      </c>
      <c r="AV65" s="25">
        <f>ROUND(IFERROR(AT65*AU65," "),2)</f>
        <v>25.7</v>
      </c>
    </row>
    <row r="66" spans="1:48" x14ac:dyDescent="0.55000000000000004">
      <c r="A66" t="str">
        <f>A18</f>
        <v>Tier 2</v>
      </c>
      <c r="B66" s="23">
        <f>INDEX(Input!$C$21:$AL$25,MATCH('Residential Bills_Yr 3_6 Units'!$A66,Input!$A$21:$A$25,0),MATCH('Residential Bills_Yr 3_6 Units'!B$61,Input!$C$20:$AL$20,0))</f>
        <v>6.1327533174439441</v>
      </c>
      <c r="C66" s="24">
        <f>IF(($B$55-C65)&gt;Input!F102,Input!F102,($B$55-C65))</f>
        <v>0</v>
      </c>
      <c r="D66" s="25">
        <f>ROUND(IFERROR(B66*C66," "),2)</f>
        <v>0</v>
      </c>
      <c r="F66" s="23">
        <f>INDEX(Input!$C$21:$AL$25,MATCH('Residential Bills_Yr 3_6 Units'!$A66,Input!$A$21:$A$25,0),MATCH('Residential Bills_Yr 3_6 Units'!F$61,Input!$C$20:$AL$20,0))</f>
        <v>6.1327533174439441</v>
      </c>
      <c r="G66" s="24">
        <f>IF(($B$55-G65)&gt;Input!G102,Input!G102,($B$55-G65))</f>
        <v>0</v>
      </c>
      <c r="H66" s="25">
        <f>ROUND(IFERROR(F66*G66," "),2)</f>
        <v>0</v>
      </c>
      <c r="J66" s="23">
        <f>INDEX(Input!$C$21:$AL$25,MATCH('Residential Bills_Yr 3_6 Units'!$A66,Input!$A$21:$A$25,0),MATCH('Residential Bills_Yr 3_6 Units'!J$61,Input!$C$20:$AL$20,0))</f>
        <v>6.1327533174439441</v>
      </c>
      <c r="K66" s="24">
        <f>IF(($B$55-K65)&gt;Input!H102,Input!H102,($B$55-K65))</f>
        <v>0</v>
      </c>
      <c r="L66" s="25">
        <f>ROUND(IFERROR(J66*K66," "),2)</f>
        <v>0</v>
      </c>
      <c r="N66" s="23">
        <f>INDEX(Input!$C$21:$AL$25,MATCH('Residential Bills_Yr 3_6 Units'!$A66,Input!$A$21:$A$25,0),MATCH('Residential Bills_Yr 3_6 Units'!N$61,Input!$C$20:$AL$20,0))</f>
        <v>6.1327533174439441</v>
      </c>
      <c r="O66" s="24">
        <f>IF(($B$55-O65)&gt;Input!I102,Input!I102,($B$55-O65))</f>
        <v>0</v>
      </c>
      <c r="P66" s="25">
        <f>ROUND(IFERROR(N66*O66," "),2)</f>
        <v>0</v>
      </c>
      <c r="R66" s="23">
        <f>INDEX(Input!$C$21:$AL$25,MATCH('Residential Bills_Yr 3_6 Units'!$A66,Input!$A$21:$A$25,0),MATCH('Residential Bills_Yr 3_6 Units'!R$61,Input!$C$20:$AL$20,0))</f>
        <v>6.1327533174439441</v>
      </c>
      <c r="S66" s="24">
        <f>IF(($B$55-S65)&gt;Input!J102,Input!J102,($B$55-S65))</f>
        <v>0</v>
      </c>
      <c r="T66" s="25">
        <f>ROUND(IFERROR(R66*S66," "),2)</f>
        <v>0</v>
      </c>
      <c r="V66" s="23">
        <f>INDEX(Input!$C$21:$AL$25,MATCH('Residential Bills_Yr 3_6 Units'!$A66,Input!$A$21:$A$25,0),MATCH('Residential Bills_Yr 3_6 Units'!V$61,Input!$C$20:$AL$20,0))</f>
        <v>6.1327533174439441</v>
      </c>
      <c r="W66" s="24">
        <f>IF(($B$55-W65)&gt;Input!K102,Input!K102,($B$55-S65))</f>
        <v>0</v>
      </c>
      <c r="X66" s="25">
        <f>ROUND(IFERROR(V66*W66," "),2)</f>
        <v>0</v>
      </c>
      <c r="Z66" s="23">
        <f>INDEX(Input!$C$21:$AL$25,MATCH('Residential Bills_Yr 3_6 Units'!$A66,Input!$A$21:$A$25,0),MATCH('Residential Bills_Yr 3_6 Units'!Z$61,Input!$C$20:$AL$20,0))</f>
        <v>6.1327533174439441</v>
      </c>
      <c r="AA66" s="24">
        <f>IF(($B$55-AA65)&gt;Input!L102,Input!L102,($B$55-AA65))</f>
        <v>0</v>
      </c>
      <c r="AB66" s="25">
        <f>ROUND(IFERROR(Z66*AA66," "),2)</f>
        <v>0</v>
      </c>
      <c r="AD66" s="23">
        <f>INDEX(Input!$C$21:$AL$25,MATCH('Residential Bills_Yr 3_6 Units'!$A66,Input!$A$21:$A$25,0),MATCH('Residential Bills_Yr 3_6 Units'!AD$61,Input!$C$20:$AL$20,0))</f>
        <v>6.1327533174439441</v>
      </c>
      <c r="AE66" s="24">
        <f>IF(($B$55-AE65)&gt;Input!M102,Input!M102,($B$55-AE65))</f>
        <v>0</v>
      </c>
      <c r="AF66" s="25">
        <f>ROUND(IFERROR(AD66*AE66," "),2)</f>
        <v>0</v>
      </c>
      <c r="AH66" s="23">
        <f>INDEX(Input!$C$21:$AL$25,MATCH('Residential Bills_Yr 3_6 Units'!$A66,Input!$A$21:$A$25,0),MATCH('Residential Bills_Yr 3_6 Units'!AH$61,Input!$C$20:$AL$20,0))</f>
        <v>6.1327533174439441</v>
      </c>
      <c r="AI66" s="24">
        <f>IF(($B$55-AI65)&gt;Input!N102,Input!N102,($B$55-AI65))</f>
        <v>0</v>
      </c>
      <c r="AJ66" s="25">
        <f>ROUND(IFERROR(AH66*AI66," "),2)</f>
        <v>0</v>
      </c>
      <c r="AL66" s="23">
        <f>INDEX(Input!$C$21:$AL$25,MATCH('Residential Bills_Yr 3_6 Units'!$A66,Input!$A$21:$A$25,0),MATCH('Residential Bills_Yr 3_6 Units'!AL$61,Input!$C$20:$AL$20,0))</f>
        <v>6.1327533174439441</v>
      </c>
      <c r="AM66" s="24">
        <f>IF(($B$55-AM65)&gt;Input!O102,Input!O102,($B$55-AM65))</f>
        <v>0</v>
      </c>
      <c r="AN66" s="25">
        <f>ROUND(IFERROR(AL66*AM66," "),2)</f>
        <v>0</v>
      </c>
      <c r="AP66" s="23">
        <f>INDEX(Input!$C$21:$AL$25,MATCH('Residential Bills_Yr 3_6 Units'!$A66,Input!$A$21:$A$25,0),MATCH('Residential Bills_Yr 3_6 Units'!AP$61,Input!$C$20:$AL$20,0))</f>
        <v>6.1327533174439441</v>
      </c>
      <c r="AQ66" s="24">
        <f>IF(($B$55-AQ65)&gt;Input!P102,Input!P102,($B$55-AQ65))</f>
        <v>0</v>
      </c>
      <c r="AR66" s="25">
        <f>ROUND(IFERROR(AP66*AQ66," "),2)</f>
        <v>0</v>
      </c>
      <c r="AS66" s="30"/>
      <c r="AT66" s="23">
        <f>INDEX(Input!$C$21:$AL$25,MATCH('Residential Bills_Yr 3_6 Units'!$A66,Input!$A$21:$A$25,0),MATCH('Residential Bills_Yr 3_6 Units'!AT$61,Input!$C$20:$AL$20,0))</f>
        <v>6.1327533174439441</v>
      </c>
      <c r="AU66" s="24">
        <f>IF(($B$55-AU65)&gt;Input!Q102,Input!Q102,($B$55-AU65))</f>
        <v>0</v>
      </c>
      <c r="AV66" s="25">
        <f>ROUND(IFERROR(AT66*AU66," "),2)</f>
        <v>0</v>
      </c>
    </row>
    <row r="67" spans="1:48" x14ac:dyDescent="0.55000000000000004">
      <c r="A67" t="str">
        <f>A19</f>
        <v>Tier 3</v>
      </c>
      <c r="B67" s="23">
        <f>INDEX(Input!$C$21:$AL$25,MATCH('Residential Bills_Yr 3_6 Units'!$A67,Input!$A$21:$A$25,0),MATCH('Residential Bills_Yr 3_6 Units'!B$61,Input!$C$20:$AL$20,0))</f>
        <v>9.4739837944770233</v>
      </c>
      <c r="C67" s="24">
        <f>IF(OR(Input!F128="Tier 4",Input!F128="Tier 5"),IF(('Residential Bills_Yr 3_6 Units'!$B$55-'Residential Bills_Yr 3_6 Units'!C65-'Residential Bills_Yr 3_6 Units'!C66)&gt;Input!F89,Input!F89,('Residential Bills_Yr 3_6 Units'!$B$55-'Residential Bills_Yr 3_6 Units'!C65-'Residential Bills_Yr 3_6 Units'!C66)),('Residential Bills_Yr 3_6 Units'!$B$55-'Residential Bills_Yr 3_6 Units'!C65-'Residential Bills_Yr 3_6 Units'!C66))</f>
        <v>0</v>
      </c>
      <c r="D67" s="25">
        <f>ROUND(IFERROR(B67*C67," "),2)</f>
        <v>0</v>
      </c>
      <c r="F67" s="23">
        <f>INDEX(Input!$C$21:$AL$25,MATCH('Residential Bills_Yr 3_6 Units'!$A67,Input!$A$21:$A$25,0),MATCH('Residential Bills_Yr 3_6 Units'!F$61,Input!$C$20:$AL$20,0))</f>
        <v>9.4739837944770233</v>
      </c>
      <c r="G67" s="24">
        <f>IF(OR(Input!G128="Tier 4",Input!G128="Tier 5"),IF(('Residential Bills_Yr 3_6 Units'!$B$55-'Residential Bills_Yr 3_6 Units'!G65-'Residential Bills_Yr 3_6 Units'!G66)&gt;Input!G89,Input!G89,('Residential Bills_Yr 3_6 Units'!$B$55-'Residential Bills_Yr 3_6 Units'!G65-'Residential Bills_Yr 3_6 Units'!G66)),('Residential Bills_Yr 3_6 Units'!$B$55-'Residential Bills_Yr 3_6 Units'!G65-'Residential Bills_Yr 3_6 Units'!G66))</f>
        <v>0</v>
      </c>
      <c r="H67" s="25">
        <f>ROUND(IFERROR(F67*G67," "),2)</f>
        <v>0</v>
      </c>
      <c r="J67" s="23">
        <f>INDEX(Input!$C$21:$AL$25,MATCH('Residential Bills_Yr 3_6 Units'!$A67,Input!$A$21:$A$25,0),MATCH('Residential Bills_Yr 3_6 Units'!J$61,Input!$C$20:$AL$20,0))</f>
        <v>9.4739837944770233</v>
      </c>
      <c r="K67" s="24">
        <f>IF(OR(Input!H128="Tier 4",Input!H128="Tier 5"),IF(('Residential Bills_Yr 3_6 Units'!$B$55-'Residential Bills_Yr 3_6 Units'!K65-'Residential Bills_Yr 3_6 Units'!K66)&gt;Input!H89,Input!H89,('Residential Bills_Yr 3_6 Units'!$B$55-'Residential Bills_Yr 3_6 Units'!K65-'Residential Bills_Yr 3_6 Units'!K66)),('Residential Bills_Yr 3_6 Units'!$B$55-'Residential Bills_Yr 3_6 Units'!K65-'Residential Bills_Yr 3_6 Units'!K66))</f>
        <v>0</v>
      </c>
      <c r="L67" s="25">
        <f>ROUND(IFERROR(J67*K67," "),2)</f>
        <v>0</v>
      </c>
      <c r="N67" s="23">
        <f>INDEX(Input!$C$21:$AL$25,MATCH('Residential Bills_Yr 3_6 Units'!$A67,Input!$A$21:$A$25,0),MATCH('Residential Bills_Yr 3_6 Units'!N$61,Input!$C$20:$AL$20,0))</f>
        <v>9.4739837944770233</v>
      </c>
      <c r="O67" s="24">
        <f>IF(OR(Input!I128="Tier 4",Input!I128="Tier 5"),IF(('Residential Bills_Yr 3_6 Units'!$B$55-'Residential Bills_Yr 3_6 Units'!O65-'Residential Bills_Yr 3_6 Units'!O66)&gt;Input!I89,Input!I89,('Residential Bills_Yr 3_6 Units'!$B$55-'Residential Bills_Yr 3_6 Units'!O65-'Residential Bills_Yr 3_6 Units'!O66)),('Residential Bills_Yr 3_6 Units'!$B$55-'Residential Bills_Yr 3_6 Units'!O65-'Residential Bills_Yr 3_6 Units'!O66))</f>
        <v>0</v>
      </c>
      <c r="P67" s="25">
        <f>ROUND(IFERROR(N67*O67," "),2)</f>
        <v>0</v>
      </c>
      <c r="R67" s="23">
        <f>INDEX(Input!$C$21:$AL$25,MATCH('Residential Bills_Yr 3_6 Units'!$A67,Input!$A$21:$A$25,0),MATCH('Residential Bills_Yr 3_6 Units'!R$61,Input!$C$20:$AL$20,0))</f>
        <v>9.4739837944770233</v>
      </c>
      <c r="S67" s="24">
        <f>IF(OR(Input!J128="Tier 4",Input!J128="Tier 5"),IF(('Residential Bills_Yr 3_6 Units'!$B$55-'Residential Bills_Yr 3_6 Units'!S65-'Residential Bills_Yr 3_6 Units'!S66)&gt;Input!J89,Input!J89,('Residential Bills_Yr 3_6 Units'!$B$55-'Residential Bills_Yr 3_6 Units'!S65-'Residential Bills_Yr 3_6 Units'!S66)),('Residential Bills_Yr 3_6 Units'!$B$55-'Residential Bills_Yr 3_6 Units'!S65-'Residential Bills_Yr 3_6 Units'!S66))</f>
        <v>0</v>
      </c>
      <c r="T67" s="25">
        <f>ROUND(IFERROR(R67*S67," "),2)</f>
        <v>0</v>
      </c>
      <c r="V67" s="23">
        <f>INDEX(Input!$C$21:$AL$25,MATCH('Residential Bills_Yr 3_6 Units'!$A67,Input!$A$21:$A$25,0),MATCH('Residential Bills_Yr 3_6 Units'!V$61,Input!$C$20:$AL$20,0))</f>
        <v>9.4739837944770233</v>
      </c>
      <c r="W67" s="24">
        <f>IF(OR(Input!K128="Tier 4",Input!K128="Tier 5"),IF(('Residential Bills_Yr 3_6 Units'!$B$55-'Residential Bills_Yr 3_6 Units'!W65-'Residential Bills_Yr 3_6 Units'!W66)&gt;Input!K89,Input!K89,('Residential Bills_Yr 3_6 Units'!$B$55-'Residential Bills_Yr 3_6 Units'!W65-'Residential Bills_Yr 3_6 Units'!W66)),('Residential Bills_Yr 3_6 Units'!$B$55-'Residential Bills_Yr 3_6 Units'!W65-'Residential Bills_Yr 3_6 Units'!W66))</f>
        <v>0</v>
      </c>
      <c r="X67" s="25">
        <f>ROUND(IFERROR(V67*W67," "),2)</f>
        <v>0</v>
      </c>
      <c r="Z67" s="23">
        <f>INDEX(Input!$C$21:$AL$25,MATCH('Residential Bills_Yr 3_6 Units'!$A67,Input!$A$21:$A$25,0),MATCH('Residential Bills_Yr 3_6 Units'!Z$61,Input!$C$20:$AL$20,0))</f>
        <v>9.4739837944770233</v>
      </c>
      <c r="AA67" s="24">
        <f>IF(OR(Input!L128="Tier 4",Input!L128="Tier 5"),IF(('Residential Bills_Yr 3_6 Units'!$B$55-'Residential Bills_Yr 3_6 Units'!AA65-'Residential Bills_Yr 3_6 Units'!AA66)&gt;Input!L89,Input!L89,('Residential Bills_Yr 3_6 Units'!$B$55-'Residential Bills_Yr 3_6 Units'!AA65-'Residential Bills_Yr 3_6 Units'!AA66)),('Residential Bills_Yr 3_6 Units'!$B$55-'Residential Bills_Yr 3_6 Units'!AA65-'Residential Bills_Yr 3_6 Units'!AA66))</f>
        <v>0</v>
      </c>
      <c r="AB67" s="25">
        <f>ROUND(IFERROR(Z67*AA67," "),2)</f>
        <v>0</v>
      </c>
      <c r="AD67" s="23">
        <f>INDEX(Input!$C$21:$AL$25,MATCH('Residential Bills_Yr 3_6 Units'!$A67,Input!$A$21:$A$25,0),MATCH('Residential Bills_Yr 3_6 Units'!AD$61,Input!$C$20:$AL$20,0))</f>
        <v>9.4739837944770233</v>
      </c>
      <c r="AE67" s="24">
        <f>IF(OR(Input!M128="Tier 4",Input!M128="Tier 5"),IF(('Residential Bills_Yr 3_6 Units'!$B$55-'Residential Bills_Yr 3_6 Units'!AE65-'Residential Bills_Yr 3_6 Units'!AE66)&gt;Input!M89,Input!M89,('Residential Bills_Yr 3_6 Units'!$B$55-'Residential Bills_Yr 3_6 Units'!AE65-'Residential Bills_Yr 3_6 Units'!AE66)),('Residential Bills_Yr 3_6 Units'!$B$55-'Residential Bills_Yr 3_6 Units'!AE65-'Residential Bills_Yr 3_6 Units'!AE66))</f>
        <v>0</v>
      </c>
      <c r="AF67" s="25">
        <f>ROUND(IFERROR(AD67*AE67," "),2)</f>
        <v>0</v>
      </c>
      <c r="AH67" s="23">
        <f>INDEX(Input!$C$21:$AL$25,MATCH('Residential Bills_Yr 3_6 Units'!$A67,Input!$A$21:$A$25,0),MATCH('Residential Bills_Yr 3_6 Units'!AH$61,Input!$C$20:$AL$20,0))</f>
        <v>9.4739837944770233</v>
      </c>
      <c r="AI67" s="24">
        <f>IF(OR(Input!N128="Tier 4",Input!N128="Tier 5"),IF(('Residential Bills_Yr 3_6 Units'!$B$55-'Residential Bills_Yr 3_6 Units'!AI65-'Residential Bills_Yr 3_6 Units'!AI66)&gt;Input!N89,Input!N89,('Residential Bills_Yr 3_6 Units'!$B$55-'Residential Bills_Yr 3_6 Units'!AI65-'Residential Bills_Yr 3_6 Units'!AI66)),('Residential Bills_Yr 3_6 Units'!$B$55-'Residential Bills_Yr 3_6 Units'!AI65-'Residential Bills_Yr 3_6 Units'!AI66))</f>
        <v>0</v>
      </c>
      <c r="AJ67" s="25">
        <f>ROUND(IFERROR(AH67*AI67," "),2)</f>
        <v>0</v>
      </c>
      <c r="AL67" s="23">
        <f>INDEX(Input!$C$21:$AL$25,MATCH('Residential Bills_Yr 3_6 Units'!$A67,Input!$A$21:$A$25,0),MATCH('Residential Bills_Yr 3_6 Units'!AL$61,Input!$C$20:$AL$20,0))</f>
        <v>9.4739837944770233</v>
      </c>
      <c r="AM67" s="24">
        <f>IF(OR(Input!O128="Tier 4",Input!O128="Tier 5"),IF(('Residential Bills_Yr 3_6 Units'!$B$55-'Residential Bills_Yr 3_6 Units'!AM65-'Residential Bills_Yr 3_6 Units'!AM66)&gt;Input!O89,Input!O89,('Residential Bills_Yr 3_6 Units'!$B$55-'Residential Bills_Yr 3_6 Units'!AM65-'Residential Bills_Yr 3_6 Units'!AM66)),('Residential Bills_Yr 3_6 Units'!$B$55-'Residential Bills_Yr 3_6 Units'!AM65-'Residential Bills_Yr 3_6 Units'!AM66))</f>
        <v>0</v>
      </c>
      <c r="AN67" s="25">
        <f>ROUND(IFERROR(AL67*AM67," "),2)</f>
        <v>0</v>
      </c>
      <c r="AP67" s="23">
        <f>INDEX(Input!$C$21:$AL$25,MATCH('Residential Bills_Yr 3_6 Units'!$A67,Input!$A$21:$A$25,0),MATCH('Residential Bills_Yr 3_6 Units'!AP$61,Input!$C$20:$AL$20,0))</f>
        <v>9.4739837944770233</v>
      </c>
      <c r="AQ67" s="24">
        <f>IF(OR(Input!P128="Tier 4",Input!P128="Tier 5"),IF(('Residential Bills_Yr 3_6 Units'!$B$55-'Residential Bills_Yr 3_6 Units'!AQ65-'Residential Bills_Yr 3_6 Units'!AQ66)&gt;Input!P89,Input!P89,('Residential Bills_Yr 3_6 Units'!$B$55-'Residential Bills_Yr 3_6 Units'!AQ65-'Residential Bills_Yr 3_6 Units'!AQ66)),('Residential Bills_Yr 3_6 Units'!$B$55-'Residential Bills_Yr 3_6 Units'!AQ65-'Residential Bills_Yr 3_6 Units'!AQ66))</f>
        <v>0</v>
      </c>
      <c r="AR67" s="25">
        <f>ROUND(IFERROR(AP67*AQ67," "),2)</f>
        <v>0</v>
      </c>
      <c r="AS67" s="30"/>
      <c r="AT67" s="23">
        <f>INDEX(Input!$C$21:$AL$25,MATCH('Residential Bills_Yr 3_6 Units'!$A67,Input!$A$21:$A$25,0),MATCH('Residential Bills_Yr 3_6 Units'!AT$61,Input!$C$20:$AL$20,0))</f>
        <v>9.4739837944770233</v>
      </c>
      <c r="AU67" s="24">
        <f>IF(OR(Input!Q128="Tier 4",Input!Q128="Tier 5"),IF(('Residential Bills_Yr 3_6 Units'!$B$55-'Residential Bills_Yr 3_6 Units'!AU65-'Residential Bills_Yr 3_6 Units'!AU66)&gt;Input!Q89,Input!Q89,('Residential Bills_Yr 3_6 Units'!$B$55-'Residential Bills_Yr 3_6 Units'!AU65-'Residential Bills_Yr 3_6 Units'!AU66)),('Residential Bills_Yr 3_6 Units'!$B$55-'Residential Bills_Yr 3_6 Units'!AU65-'Residential Bills_Yr 3_6 Units'!AU66))</f>
        <v>0</v>
      </c>
      <c r="AV67" s="25">
        <f>ROUND(IFERROR(AT67*AU67," "),2)</f>
        <v>0</v>
      </c>
    </row>
    <row r="68" spans="1:48" ht="14.5" hidden="1" customHeight="1" x14ac:dyDescent="0.55000000000000004">
      <c r="A68" t="str">
        <f>A20</f>
        <v>Tier 4</v>
      </c>
      <c r="B68" s="23">
        <f>INDEX(Input!$C$21:$AL$25,MATCH('Residential Bills_Yr 3_6 Units'!$A68,Input!$A$21:$A$25,0),MATCH('Residential Bills_Yr 3_6 Units'!B$61,Input!$C$20:$AL$20,0))</f>
        <v>0</v>
      </c>
      <c r="C68" s="24" t="str">
        <f>IF(Input!F128="Tier 4",($B$55-C65-C66-C67),IF(Input!F128="Tier 5",IF(('Residential Bills_Yr 3_6 Units'!$B$55-'Residential Bills_Yr 3_6 Units'!C65-'Residential Bills_Yr 3_6 Units'!C66-'Residential Bills_Yr 3_6 Units'!C67)&gt;Input!F133,Input!F133,('Residential Bills_Yr 3_6 Units'!$B$55-'Residential Bills_Yr 3_6 Units'!C65-'Residential Bills_Yr 3_6 Units'!C66-'Residential Bills_Yr 3_6 Units'!C67))," "))</f>
        <v xml:space="preserve"> </v>
      </c>
      <c r="D68" s="25" t="str">
        <f t="shared" ref="D68:D69" si="24">IFERROR(B68*C68," ")</f>
        <v xml:space="preserve"> </v>
      </c>
      <c r="F68" s="23">
        <f>INDEX(Input!$C$21:$AL$25,MATCH('Residential Bills_Yr 3_6 Units'!$A68,Input!$A$21:$A$25,0),MATCH('Residential Bills_Yr 3_6 Units'!F$61,Input!$C$20:$AL$20,0))</f>
        <v>0</v>
      </c>
      <c r="G68" s="24" t="str">
        <f>IF(Input!G128="Tier 4",($B$55-G65-G66-G67),IF(Input!G128="Tier 5",IF(('Residential Bills_Yr 3_6 Units'!$B$55-'Residential Bills_Yr 3_6 Units'!G65-'Residential Bills_Yr 3_6 Units'!G66-'Residential Bills_Yr 3_6 Units'!G67)&gt;Input!G133,Input!G133,('Residential Bills_Yr 3_6 Units'!$B$55-'Residential Bills_Yr 3_6 Units'!G65-'Residential Bills_Yr 3_6 Units'!G66-'Residential Bills_Yr 3_6 Units'!G67))," "))</f>
        <v xml:space="preserve"> </v>
      </c>
      <c r="H68" s="25" t="str">
        <f t="shared" ref="H68:H69" si="25">IFERROR(F68*G68," ")</f>
        <v xml:space="preserve"> </v>
      </c>
      <c r="J68" s="23">
        <f>INDEX(Input!$C$21:$AL$25,MATCH('Residential Bills_Yr 3_6 Units'!$A68,Input!$A$21:$A$25,0),MATCH('Residential Bills_Yr 3_6 Units'!J$61,Input!$C$20:$AL$20,0))</f>
        <v>0</v>
      </c>
      <c r="K68" s="24" t="str">
        <f>IF(Input!H128="Tier 4",($B$55-K65-K66-K67),IF(Input!H128="Tier 5",IF(('Residential Bills_Yr 3_6 Units'!$B$55-'Residential Bills_Yr 3_6 Units'!K65-'Residential Bills_Yr 3_6 Units'!K66-'Residential Bills_Yr 3_6 Units'!K67)&gt;Input!H133,Input!H133,('Residential Bills_Yr 3_6 Units'!$B$55-'Residential Bills_Yr 3_6 Units'!K65-'Residential Bills_Yr 3_6 Units'!K66-'Residential Bills_Yr 3_6 Units'!K67))," "))</f>
        <v xml:space="preserve"> </v>
      </c>
      <c r="L68" s="25" t="str">
        <f t="shared" ref="L68:L69" si="26">IFERROR(J68*K68," ")</f>
        <v xml:space="preserve"> </v>
      </c>
      <c r="N68" s="23">
        <f>INDEX(Input!$C$21:$AL$25,MATCH('Residential Bills_Yr 3_6 Units'!$A68,Input!$A$21:$A$25,0),MATCH('Residential Bills_Yr 3_6 Units'!N$61,Input!$C$20:$AL$20,0))</f>
        <v>0</v>
      </c>
      <c r="O68" s="24" t="str">
        <f>IF(Input!I128="Tier 4",($B$55-O65-O66-O67),IF(Input!I128="Tier 5",IF(('Residential Bills_Yr 3_6 Units'!$B$55-'Residential Bills_Yr 3_6 Units'!O65-'Residential Bills_Yr 3_6 Units'!O66-'Residential Bills_Yr 3_6 Units'!O67)&gt;Input!I133,Input!I133,('Residential Bills_Yr 3_6 Units'!$B$55-'Residential Bills_Yr 3_6 Units'!O65-'Residential Bills_Yr 3_6 Units'!O66-'Residential Bills_Yr 3_6 Units'!O67))," "))</f>
        <v xml:space="preserve"> </v>
      </c>
      <c r="P68" s="25" t="str">
        <f t="shared" ref="P68:P69" si="27">IFERROR(N68*O68," ")</f>
        <v xml:space="preserve"> </v>
      </c>
      <c r="R68" s="23">
        <f>INDEX(Input!$C$21:$AL$25,MATCH('Residential Bills_Yr 3_6 Units'!$A68,Input!$A$21:$A$25,0),MATCH('Residential Bills_Yr 3_6 Units'!R$61,Input!$C$20:$AL$20,0))</f>
        <v>0</v>
      </c>
      <c r="S68" s="24" t="str">
        <f>IF(Input!J128="Tier 4",($B$55-S65-S66-S67),IF(Input!J128="Tier 5",IF(('Residential Bills_Yr 3_6 Units'!$B$55-'Residential Bills_Yr 3_6 Units'!S65-'Residential Bills_Yr 3_6 Units'!S66-'Residential Bills_Yr 3_6 Units'!S67)&gt;Input!J133,Input!J133,('Residential Bills_Yr 3_6 Units'!$B$55-'Residential Bills_Yr 3_6 Units'!S65-'Residential Bills_Yr 3_6 Units'!S66-'Residential Bills_Yr 3_6 Units'!S67))," "))</f>
        <v xml:space="preserve"> </v>
      </c>
      <c r="T68" s="25" t="str">
        <f t="shared" ref="T68:T69" si="28">IFERROR(R68*S68," ")</f>
        <v xml:space="preserve"> </v>
      </c>
      <c r="V68" s="23">
        <f>INDEX(Input!$C$21:$AL$25,MATCH('Residential Bills_Yr 3_6 Units'!$A68,Input!$A$21:$A$25,0),MATCH('Residential Bills_Yr 3_6 Units'!V$61,Input!$C$20:$AL$20,0))</f>
        <v>0</v>
      </c>
      <c r="W68" s="24" t="str">
        <f>IF(Input!K128="Tier 4",($B$55-W65-W66-W67),IF(Input!K128="Tier 5",IF(('Residential Bills_Yr 3_6 Units'!$B$55-'Residential Bills_Yr 3_6 Units'!W65-'Residential Bills_Yr 3_6 Units'!W66-'Residential Bills_Yr 3_6 Units'!W67)&gt;Input!K133,Input!K133,('Residential Bills_Yr 3_6 Units'!$B$55-'Residential Bills_Yr 3_6 Units'!W65-'Residential Bills_Yr 3_6 Units'!W66-'Residential Bills_Yr 3_6 Units'!W67))," "))</f>
        <v xml:space="preserve"> </v>
      </c>
      <c r="X68" s="25" t="str">
        <f t="shared" ref="X68:X69" si="29">IFERROR(V68*W68," ")</f>
        <v xml:space="preserve"> </v>
      </c>
      <c r="Z68" s="23">
        <f>INDEX(Input!$C$21:$AL$25,MATCH('Residential Bills_Yr 3_6 Units'!$A68,Input!$A$21:$A$25,0),MATCH('Residential Bills_Yr 3_6 Units'!Z$61,Input!$C$20:$AL$20,0))</f>
        <v>0</v>
      </c>
      <c r="AA68" s="24" t="str">
        <f>IF(Input!L128="Tier 4",($B$55-AA65-AA66-AA67),IF(Input!L128="Tier 5",IF(('Residential Bills_Yr 3_6 Units'!$B$55-'Residential Bills_Yr 3_6 Units'!AA65-'Residential Bills_Yr 3_6 Units'!AA66-'Residential Bills_Yr 3_6 Units'!AA67)&gt;Input!L133,Input!L133,('Residential Bills_Yr 3_6 Units'!$B$55-'Residential Bills_Yr 3_6 Units'!AA65-'Residential Bills_Yr 3_6 Units'!AA66-'Residential Bills_Yr 3_6 Units'!AA67))," "))</f>
        <v xml:space="preserve"> </v>
      </c>
      <c r="AB68" s="25" t="str">
        <f t="shared" ref="AB68:AB69" si="30">IFERROR(Z68*AA68," ")</f>
        <v xml:space="preserve"> </v>
      </c>
      <c r="AD68" s="23">
        <f>INDEX(Input!$C$21:$AL$25,MATCH('Residential Bills_Yr 3_6 Units'!$A68,Input!$A$21:$A$25,0),MATCH('Residential Bills_Yr 3_6 Units'!AD$61,Input!$C$20:$AL$20,0))</f>
        <v>0</v>
      </c>
      <c r="AE68" s="24" t="str">
        <f>IF(Input!M128="Tier 4",($B$55-AE65-AE66-AE67),IF(Input!M128="Tier 5",IF(('Residential Bills_Yr 3_6 Units'!$B$55-'Residential Bills_Yr 3_6 Units'!AE65-'Residential Bills_Yr 3_6 Units'!AE66-'Residential Bills_Yr 3_6 Units'!AE67)&gt;Input!M133,Input!M133,('Residential Bills_Yr 3_6 Units'!$B$55-'Residential Bills_Yr 3_6 Units'!AE65-'Residential Bills_Yr 3_6 Units'!AE66-'Residential Bills_Yr 3_6 Units'!AE67))," "))</f>
        <v xml:space="preserve"> </v>
      </c>
      <c r="AF68" s="25" t="str">
        <f t="shared" ref="AF68:AF69" si="31">IFERROR(AD68*AE68," ")</f>
        <v xml:space="preserve"> </v>
      </c>
      <c r="AH68" s="23">
        <f>INDEX(Input!$C$21:$AL$25,MATCH('Residential Bills_Yr 3_6 Units'!$A68,Input!$A$21:$A$25,0),MATCH('Residential Bills_Yr 3_6 Units'!AH$61,Input!$C$20:$AL$20,0))</f>
        <v>0</v>
      </c>
      <c r="AI68" s="24" t="str">
        <f>IF(Input!N128="Tier 4",($B$55-AI65-AI66-AI67),IF(Input!N128="Tier 5",IF(('Residential Bills_Yr 3_6 Units'!$B$55-'Residential Bills_Yr 3_6 Units'!AI65-'Residential Bills_Yr 3_6 Units'!AI66-'Residential Bills_Yr 3_6 Units'!AI67)&gt;Input!N133,Input!N133,('Residential Bills_Yr 3_6 Units'!$B$55-'Residential Bills_Yr 3_6 Units'!AI65-'Residential Bills_Yr 3_6 Units'!AI66-'Residential Bills_Yr 3_6 Units'!AI67))," "))</f>
        <v xml:space="preserve"> </v>
      </c>
      <c r="AJ68" s="25" t="str">
        <f t="shared" ref="AJ68:AJ69" si="32">IFERROR(AH68*AI68," ")</f>
        <v xml:space="preserve"> </v>
      </c>
      <c r="AL68" s="23">
        <f>INDEX(Input!$C$21:$AL$25,MATCH('Residential Bills_Yr 3_6 Units'!$A68,Input!$A$21:$A$25,0),MATCH('Residential Bills_Yr 3_6 Units'!AL$61,Input!$C$20:$AL$20,0))</f>
        <v>0</v>
      </c>
      <c r="AM68" s="24" t="str">
        <f>IF(Input!O128="Tier 4",($B$55-AM65-AM66-AM67),IF(Input!O128="Tier 5",IF(('Residential Bills_Yr 3_6 Units'!$B$55-'Residential Bills_Yr 3_6 Units'!AM65-'Residential Bills_Yr 3_6 Units'!AM66-'Residential Bills_Yr 3_6 Units'!AM67)&gt;Input!O133,Input!O133,('Residential Bills_Yr 3_6 Units'!$B$55-'Residential Bills_Yr 3_6 Units'!AM65-'Residential Bills_Yr 3_6 Units'!AM66-'Residential Bills_Yr 3_6 Units'!AM67))," "))</f>
        <v xml:space="preserve"> </v>
      </c>
      <c r="AN68" s="25" t="str">
        <f t="shared" ref="AN68:AN69" si="33">IFERROR(AL68*AM68," ")</f>
        <v xml:space="preserve"> </v>
      </c>
      <c r="AP68" s="23">
        <f>INDEX(Input!$C$21:$AL$25,MATCH('Residential Bills_Yr 3_6 Units'!$A68,Input!$A$21:$A$25,0),MATCH('Residential Bills_Yr 3_6 Units'!AP$61,Input!$C$20:$AL$20,0))</f>
        <v>0</v>
      </c>
      <c r="AQ68" s="24" t="str">
        <f>IF(Input!P128="Tier 4",($B$55-AQ65-AQ66-AQ67),IF(Input!P128="Tier 5",IF(('Residential Bills_Yr 3_6 Units'!$B$55-'Residential Bills_Yr 3_6 Units'!AQ65-'Residential Bills_Yr 3_6 Units'!AQ66-'Residential Bills_Yr 3_6 Units'!AQ67)&gt;Input!P133,Input!P133,('Residential Bills_Yr 3_6 Units'!$B$55-'Residential Bills_Yr 3_6 Units'!AQ65-'Residential Bills_Yr 3_6 Units'!AQ66-'Residential Bills_Yr 3_6 Units'!AQ67))," "))</f>
        <v xml:space="preserve"> </v>
      </c>
      <c r="AR68" s="25" t="str">
        <f t="shared" ref="AR68:AR69" si="34">IFERROR(AP68*AQ68," ")</f>
        <v xml:space="preserve"> </v>
      </c>
      <c r="AS68" s="30"/>
      <c r="AT68" s="23">
        <f>INDEX(Input!$C$21:$AL$25,MATCH('Residential Bills_Yr 3_6 Units'!$A68,Input!$A$21:$A$25,0),MATCH('Residential Bills_Yr 3_6 Units'!AT$61,Input!$C$20:$AL$20,0))</f>
        <v>0</v>
      </c>
      <c r="AU68" s="24" t="str">
        <f>IF(Input!Q128="Tier 4",($B$55-AU65-AU66-AU67),IF(Input!Q128="Tier 5",IF(('Residential Bills_Yr 3_6 Units'!$B$55-'Residential Bills_Yr 3_6 Units'!AU65-'Residential Bills_Yr 3_6 Units'!AU66-'Residential Bills_Yr 3_6 Units'!AU67)&gt;Input!Q133,Input!Q133,('Residential Bills_Yr 3_6 Units'!$B$55-'Residential Bills_Yr 3_6 Units'!AU65-'Residential Bills_Yr 3_6 Units'!AU66-'Residential Bills_Yr 3_6 Units'!AU67))," "))</f>
        <v xml:space="preserve"> </v>
      </c>
      <c r="AV68" s="25" t="str">
        <f t="shared" ref="AV68:AV69" si="35">IFERROR(AT68*AU68," ")</f>
        <v xml:space="preserve"> </v>
      </c>
    </row>
    <row r="69" spans="1:48" ht="14.5" hidden="1" customHeight="1" x14ac:dyDescent="0.55000000000000004">
      <c r="A69" t="str">
        <f>A21</f>
        <v>Tier 5</v>
      </c>
      <c r="B69" s="23">
        <f>INDEX(Input!$C$21:$AL$25,MATCH('Residential Bills_Yr 3_6 Units'!$A69,Input!$A$21:$A$25,0),MATCH('Residential Bills_Yr 3_6 Units'!B$61,Input!$C$20:$AL$20,0))</f>
        <v>0</v>
      </c>
      <c r="C69" s="24" t="str">
        <f>IF(Input!F128="Tier 5",('Residential Bills_Yr 3_6 Units'!$B$55-'Residential Bills_Yr 3_6 Units'!C65-'Residential Bills_Yr 3_6 Units'!C66-'Residential Bills_Yr 3_6 Units'!C67-'Residential Bills_Yr 3_6 Units'!C68)," ")</f>
        <v xml:space="preserve"> </v>
      </c>
      <c r="D69" s="25" t="str">
        <f t="shared" si="24"/>
        <v xml:space="preserve"> </v>
      </c>
      <c r="F69" s="23">
        <f>INDEX(Input!$C$21:$AL$25,MATCH('Residential Bills_Yr 3_6 Units'!$A69,Input!$A$21:$A$25,0),MATCH('Residential Bills_Yr 3_6 Units'!F$61,Input!$C$20:$AL$20,0))</f>
        <v>0</v>
      </c>
      <c r="G69" s="24" t="str">
        <f>IF(Input!G128="Tier 5",('Residential Bills_Yr 3_6 Units'!$B$55-'Residential Bills_Yr 3_6 Units'!G65-'Residential Bills_Yr 3_6 Units'!G66-'Residential Bills_Yr 3_6 Units'!G67-'Residential Bills_Yr 3_6 Units'!G68)," ")</f>
        <v xml:space="preserve"> </v>
      </c>
      <c r="H69" s="25" t="str">
        <f t="shared" si="25"/>
        <v xml:space="preserve"> </v>
      </c>
      <c r="J69" s="23">
        <f>INDEX(Input!$C$21:$AL$25,MATCH('Residential Bills_Yr 3_6 Units'!$A69,Input!$A$21:$A$25,0),MATCH('Residential Bills_Yr 3_6 Units'!J$61,Input!$C$20:$AL$20,0))</f>
        <v>0</v>
      </c>
      <c r="K69" s="24" t="str">
        <f>IF(Input!H128="Tier 5",('Residential Bills_Yr 3_6 Units'!$B$55-'Residential Bills_Yr 3_6 Units'!K$17-'Residential Bills_Yr 3_6 Units'!K$18-'Residential Bills_Yr 3_6 Units'!K$19-'Residential Bills_Yr 3_6 Units'!K$20)," ")</f>
        <v xml:space="preserve"> </v>
      </c>
      <c r="L69" s="25" t="str">
        <f t="shared" si="26"/>
        <v xml:space="preserve"> </v>
      </c>
      <c r="N69" s="23">
        <f>INDEX(Input!$C$21:$AL$25,MATCH('Residential Bills_Yr 3_6 Units'!$A69,Input!$A$21:$A$25,0),MATCH('Residential Bills_Yr 3_6 Units'!N$61,Input!$C$20:$AL$20,0))</f>
        <v>0</v>
      </c>
      <c r="O69" s="24" t="str">
        <f>IF(Input!I128="Tier 5",('Residential Bills_Yr 3_6 Units'!$B$55-'Residential Bills_Yr 3_6 Units'!O$17-'Residential Bills_Yr 3_6 Units'!O$18-'Residential Bills_Yr 3_6 Units'!O$19-'Residential Bills_Yr 3_6 Units'!O$20)," ")</f>
        <v xml:space="preserve"> </v>
      </c>
      <c r="P69" s="25" t="str">
        <f t="shared" si="27"/>
        <v xml:space="preserve"> </v>
      </c>
      <c r="R69" s="23">
        <f>INDEX(Input!$C$21:$AL$25,MATCH('Residential Bills_Yr 3_6 Units'!$A69,Input!$A$21:$A$25,0),MATCH('Residential Bills_Yr 3_6 Units'!R$61,Input!$C$20:$AL$20,0))</f>
        <v>0</v>
      </c>
      <c r="S69" s="24" t="str">
        <f>IF(Input!J128="Tier 5",('Residential Bills_Yr 3_6 Units'!$B$55-'Residential Bills_Yr 3_6 Units'!S$17-'Residential Bills_Yr 3_6 Units'!S$18-'Residential Bills_Yr 3_6 Units'!S$19-'Residential Bills_Yr 3_6 Units'!S$20)," ")</f>
        <v xml:space="preserve"> </v>
      </c>
      <c r="T69" s="25" t="str">
        <f t="shared" si="28"/>
        <v xml:space="preserve"> </v>
      </c>
      <c r="V69" s="23">
        <f>INDEX(Input!$C$21:$AL$25,MATCH('Residential Bills_Yr 3_6 Units'!$A69,Input!$A$21:$A$25,0),MATCH('Residential Bills_Yr 3_6 Units'!V$61,Input!$C$20:$AL$20,0))</f>
        <v>0</v>
      </c>
      <c r="W69" s="24" t="str">
        <f>IF(Input!K128="Tier 5",('Residential Bills_Yr 3_6 Units'!$B$55-'Residential Bills_Yr 3_6 Units'!W$17-'Residential Bills_Yr 3_6 Units'!W$18-'Residential Bills_Yr 3_6 Units'!W$19-'Residential Bills_Yr 3_6 Units'!W$20)," ")</f>
        <v xml:space="preserve"> </v>
      </c>
      <c r="X69" s="25" t="str">
        <f t="shared" si="29"/>
        <v xml:space="preserve"> </v>
      </c>
      <c r="Z69" s="23">
        <f>INDEX(Input!$C$21:$AL$25,MATCH('Residential Bills_Yr 3_6 Units'!$A69,Input!$A$21:$A$25,0),MATCH('Residential Bills_Yr 3_6 Units'!Z$61,Input!$C$20:$AL$20,0))</f>
        <v>0</v>
      </c>
      <c r="AA69" s="24" t="str">
        <f>IF(Input!L128="Tier 5",('Residential Bills_Yr 3_6 Units'!$B$55-'Residential Bills_Yr 3_6 Units'!AA$17-'Residential Bills_Yr 3_6 Units'!AA$18-'Residential Bills_Yr 3_6 Units'!AA$19-'Residential Bills_Yr 3_6 Units'!AA$20)," ")</f>
        <v xml:space="preserve"> </v>
      </c>
      <c r="AB69" s="25" t="str">
        <f t="shared" si="30"/>
        <v xml:space="preserve"> </v>
      </c>
      <c r="AD69" s="23">
        <f>INDEX(Input!$C$21:$AL$25,MATCH('Residential Bills_Yr 3_6 Units'!$A69,Input!$A$21:$A$25,0),MATCH('Residential Bills_Yr 3_6 Units'!AD$61,Input!$C$20:$AL$20,0))</f>
        <v>0</v>
      </c>
      <c r="AE69" s="24" t="str">
        <f>IF(Input!M128="Tier 5",('Residential Bills_Yr 3_6 Units'!$B$55-'Residential Bills_Yr 3_6 Units'!AE$17-'Residential Bills_Yr 3_6 Units'!AE$18-'Residential Bills_Yr 3_6 Units'!AE$19-'Residential Bills_Yr 3_6 Units'!AE$20)," ")</f>
        <v xml:space="preserve"> </v>
      </c>
      <c r="AF69" s="25" t="str">
        <f t="shared" si="31"/>
        <v xml:space="preserve"> </v>
      </c>
      <c r="AH69" s="23">
        <f>INDEX(Input!$C$21:$AL$25,MATCH('Residential Bills_Yr 3_6 Units'!$A69,Input!$A$21:$A$25,0),MATCH('Residential Bills_Yr 3_6 Units'!AH$61,Input!$C$20:$AL$20,0))</f>
        <v>0</v>
      </c>
      <c r="AI69" s="24" t="str">
        <f>IF(Input!N128="Tier 5",('Residential Bills_Yr 3_6 Units'!$B$55-'Residential Bills_Yr 3_6 Units'!AI$17-'Residential Bills_Yr 3_6 Units'!AI$18-'Residential Bills_Yr 3_6 Units'!AI$19-'Residential Bills_Yr 3_6 Units'!AI$20)," ")</f>
        <v xml:space="preserve"> </v>
      </c>
      <c r="AJ69" s="25" t="str">
        <f t="shared" si="32"/>
        <v xml:space="preserve"> </v>
      </c>
      <c r="AL69" s="23">
        <f>INDEX(Input!$C$21:$AL$25,MATCH('Residential Bills_Yr 3_6 Units'!$A69,Input!$A$21:$A$25,0),MATCH('Residential Bills_Yr 3_6 Units'!AL$61,Input!$C$20:$AL$20,0))</f>
        <v>0</v>
      </c>
      <c r="AM69" s="24" t="str">
        <f>IF(Input!O128="Tier 5",('Residential Bills_Yr 3_6 Units'!$B$55-'Residential Bills_Yr 3_6 Units'!AM$17-'Residential Bills_Yr 3_6 Units'!AM$18-'Residential Bills_Yr 3_6 Units'!AM$19-'Residential Bills_Yr 3_6 Units'!AM$20)," ")</f>
        <v xml:space="preserve"> </v>
      </c>
      <c r="AN69" s="25" t="str">
        <f t="shared" si="33"/>
        <v xml:space="preserve"> </v>
      </c>
      <c r="AP69" s="23">
        <f>INDEX(Input!$C$21:$AL$25,MATCH('Residential Bills_Yr 3_6 Units'!$A69,Input!$A$21:$A$25,0),MATCH('Residential Bills_Yr 3_6 Units'!AP$61,Input!$C$20:$AL$20,0))</f>
        <v>0</v>
      </c>
      <c r="AQ69" s="24" t="str">
        <f>IF(Input!P128="Tier 5",('Residential Bills_Yr 3_6 Units'!$B$55-'Residential Bills_Yr 3_6 Units'!AQ$17-'Residential Bills_Yr 3_6 Units'!AQ$18-'Residential Bills_Yr 3_6 Units'!AQ$19-'Residential Bills_Yr 3_6 Units'!AQ$20)," ")</f>
        <v xml:space="preserve"> </v>
      </c>
      <c r="AR69" s="25" t="str">
        <f t="shared" si="34"/>
        <v xml:space="preserve"> </v>
      </c>
      <c r="AS69" s="30"/>
      <c r="AT69" s="23">
        <f>INDEX(Input!$C$21:$AL$25,MATCH('Residential Bills_Yr 3_6 Units'!$A69,Input!$A$21:$A$25,0),MATCH('Residential Bills_Yr 3_6 Units'!AT$61,Input!$C$20:$AL$20,0))</f>
        <v>0</v>
      </c>
      <c r="AU69" s="24" t="str">
        <f>IF(Input!Q128="Tier 5",('Residential Bills_Yr 3_6 Units'!$B$55-'Residential Bills_Yr 3_6 Units'!AU$17-'Residential Bills_Yr 3_6 Units'!AU$18-'Residential Bills_Yr 3_6 Units'!AU$19-'Residential Bills_Yr 3_6 Units'!AU$20)," ")</f>
        <v xml:space="preserve"> </v>
      </c>
      <c r="AV69" s="25" t="str">
        <f t="shared" si="35"/>
        <v xml:space="preserve"> </v>
      </c>
    </row>
    <row r="70" spans="1:48" x14ac:dyDescent="0.55000000000000004">
      <c r="A70" t="s">
        <v>39</v>
      </c>
      <c r="B70" s="16"/>
      <c r="C70" s="24">
        <f>SUM(C65:C69)</f>
        <v>6</v>
      </c>
      <c r="D70" s="26">
        <f>SUM(D65:D69)+D62</f>
        <v>80.484772356597574</v>
      </c>
      <c r="F70" s="16"/>
      <c r="G70" s="24">
        <f>SUM(G65:G69)</f>
        <v>6</v>
      </c>
      <c r="H70" s="26">
        <f>SUM(H65:H69)+H62</f>
        <v>80.484772356597574</v>
      </c>
      <c r="J70" s="16"/>
      <c r="K70" s="24">
        <f>SUM(K65:K69)</f>
        <v>6</v>
      </c>
      <c r="L70" s="26">
        <f>SUM(L65:L69)+L62</f>
        <v>80.484772356597574</v>
      </c>
      <c r="N70" s="16"/>
      <c r="O70" s="24">
        <f>SUM(O65:O69)</f>
        <v>6</v>
      </c>
      <c r="P70" s="26">
        <f>SUM(P65:P69)+P62</f>
        <v>80.484772356597574</v>
      </c>
      <c r="R70" s="16"/>
      <c r="S70" s="24">
        <f>SUM(S65:S69)</f>
        <v>6</v>
      </c>
      <c r="T70" s="26">
        <f>SUM(T65:T69)+T62</f>
        <v>80.484772356597574</v>
      </c>
      <c r="V70" s="16"/>
      <c r="W70" s="24">
        <f>SUM(W65:W69)</f>
        <v>6</v>
      </c>
      <c r="X70" s="26">
        <f>SUM(X65:X69)+X62</f>
        <v>80.484772356597574</v>
      </c>
      <c r="Z70" s="16"/>
      <c r="AA70" s="24">
        <f>SUM(AA65:AA69)</f>
        <v>6</v>
      </c>
      <c r="AB70" s="26">
        <f>SUM(AB65:AB69)+AB62</f>
        <v>80.484772356597574</v>
      </c>
      <c r="AD70" s="16"/>
      <c r="AE70" s="24">
        <f>SUM(AE65:AE69)</f>
        <v>6</v>
      </c>
      <c r="AF70" s="26">
        <f>SUM(AF65:AF69)+AF62</f>
        <v>80.484772356597574</v>
      </c>
      <c r="AH70" s="16"/>
      <c r="AI70" s="24">
        <f>SUM(AI65:AI69)</f>
        <v>6</v>
      </c>
      <c r="AJ70" s="26">
        <f>SUM(AJ65:AJ69)+AJ62</f>
        <v>80.484772356597574</v>
      </c>
      <c r="AL70" s="16"/>
      <c r="AM70" s="24">
        <f>SUM(AM65:AM69)</f>
        <v>6</v>
      </c>
      <c r="AN70" s="26">
        <f>SUM(AN65:AN69)+AN62</f>
        <v>80.484772356597574</v>
      </c>
      <c r="AP70" s="16"/>
      <c r="AQ70" s="24">
        <f>SUM(AQ65:AQ69)</f>
        <v>6</v>
      </c>
      <c r="AR70" s="26">
        <f>SUM(AR65:AR69)+AR62</f>
        <v>80.484772356597574</v>
      </c>
      <c r="AS70" s="64"/>
      <c r="AT70" s="16"/>
      <c r="AU70" s="24">
        <f>SUM(AU65:AU69)</f>
        <v>6</v>
      </c>
      <c r="AV70" s="26">
        <f>SUM(AV65:AV69)+AV62</f>
        <v>80.484772356597574</v>
      </c>
    </row>
    <row r="71" spans="1:48" x14ac:dyDescent="0.55000000000000004">
      <c r="B71" s="16"/>
      <c r="C71" s="17"/>
      <c r="D71" s="19"/>
      <c r="F71" s="16"/>
      <c r="G71" s="17"/>
      <c r="H71" s="19"/>
      <c r="J71" s="16"/>
      <c r="K71" s="17"/>
      <c r="L71" s="19"/>
      <c r="N71" s="16"/>
      <c r="O71" s="17"/>
      <c r="P71" s="19"/>
      <c r="R71" s="16"/>
      <c r="S71" s="17"/>
      <c r="T71" s="19"/>
      <c r="V71" s="16"/>
      <c r="W71" s="17"/>
      <c r="X71" s="19"/>
      <c r="Z71" s="16"/>
      <c r="AA71" s="17"/>
      <c r="AB71" s="19"/>
      <c r="AD71" s="16"/>
      <c r="AE71" s="17"/>
      <c r="AF71" s="19"/>
      <c r="AH71" s="16"/>
      <c r="AI71" s="17"/>
      <c r="AJ71" s="19"/>
      <c r="AL71" s="16"/>
      <c r="AM71" s="17"/>
      <c r="AN71" s="19"/>
      <c r="AP71" s="16"/>
      <c r="AQ71" s="17"/>
      <c r="AR71" s="19"/>
      <c r="AS71" s="17"/>
      <c r="AT71" s="16"/>
      <c r="AU71" s="17"/>
      <c r="AV71" s="19"/>
    </row>
    <row r="72" spans="1:48" x14ac:dyDescent="0.55000000000000004">
      <c r="A72" s="1" t="s">
        <v>34</v>
      </c>
      <c r="B72" s="20" t="s">
        <v>29</v>
      </c>
      <c r="C72" s="21" t="s">
        <v>44</v>
      </c>
      <c r="D72" s="22" t="s">
        <v>30</v>
      </c>
      <c r="F72" s="20" t="s">
        <v>29</v>
      </c>
      <c r="G72" s="21" t="s">
        <v>44</v>
      </c>
      <c r="H72" s="111" t="s">
        <v>30</v>
      </c>
      <c r="J72" s="20" t="s">
        <v>29</v>
      </c>
      <c r="K72" s="21" t="s">
        <v>44</v>
      </c>
      <c r="L72" s="111" t="s">
        <v>30</v>
      </c>
      <c r="N72" s="20" t="s">
        <v>29</v>
      </c>
      <c r="O72" s="21" t="s">
        <v>44</v>
      </c>
      <c r="P72" s="111" t="s">
        <v>30</v>
      </c>
      <c r="R72" s="20" t="s">
        <v>29</v>
      </c>
      <c r="S72" s="21" t="s">
        <v>44</v>
      </c>
      <c r="T72" s="111" t="s">
        <v>30</v>
      </c>
      <c r="V72" s="20" t="s">
        <v>29</v>
      </c>
      <c r="W72" s="21" t="s">
        <v>44</v>
      </c>
      <c r="X72" s="111" t="s">
        <v>30</v>
      </c>
      <c r="Z72" s="20" t="s">
        <v>29</v>
      </c>
      <c r="AA72" s="21" t="s">
        <v>44</v>
      </c>
      <c r="AB72" s="111" t="s">
        <v>30</v>
      </c>
      <c r="AD72" s="20" t="s">
        <v>29</v>
      </c>
      <c r="AE72" s="21" t="s">
        <v>44</v>
      </c>
      <c r="AF72" s="111" t="s">
        <v>30</v>
      </c>
      <c r="AH72" s="20" t="s">
        <v>29</v>
      </c>
      <c r="AI72" s="21" t="s">
        <v>44</v>
      </c>
      <c r="AJ72" s="111" t="s">
        <v>30</v>
      </c>
      <c r="AL72" s="20" t="s">
        <v>29</v>
      </c>
      <c r="AM72" s="21" t="s">
        <v>44</v>
      </c>
      <c r="AN72" s="111" t="s">
        <v>30</v>
      </c>
      <c r="AP72" s="20" t="s">
        <v>29</v>
      </c>
      <c r="AQ72" s="21" t="s">
        <v>44</v>
      </c>
      <c r="AR72" s="111" t="s">
        <v>30</v>
      </c>
      <c r="AS72" s="170"/>
      <c r="AT72" s="20" t="s">
        <v>29</v>
      </c>
      <c r="AU72" s="21" t="s">
        <v>44</v>
      </c>
      <c r="AV72" s="111" t="s">
        <v>30</v>
      </c>
    </row>
    <row r="73" spans="1:48" s="44" customFormat="1" x14ac:dyDescent="0.55000000000000004">
      <c r="A73" s="44" t="str">
        <f t="shared" ref="A73:A79" si="36">A25</f>
        <v>SRF 1</v>
      </c>
      <c r="B73" s="173">
        <f>INDEX(Input!$C$62:$AM$74,MATCH($A73,Input!$A$62:$A$74,0),MATCH(B$61,Input!$C$61:$AM$61,0))</f>
        <v>0.04</v>
      </c>
      <c r="C73" s="31" t="str">
        <f>IF(VLOOKUP($A73,Input!$A$62:$B$74,2,FALSE)="Percentage",D$70,IF(VLOOKUP($A73,Input!$A$62:$B$74,2,FALSE)="Fixed","Fixed",(C$70)))</f>
        <v>Fixed</v>
      </c>
      <c r="D73" s="25">
        <f t="shared" ref="D73:D85" si="37">ROUND(IF(C73="Fixed",B73,(B73*C73)),2)</f>
        <v>0.04</v>
      </c>
      <c r="F73" s="173">
        <f>INDEX(Input!$C$62:$AM$74,MATCH($A73,Input!$A$62:$A$74,0),MATCH(F$61,Input!$C$61:$AM$61,0))</f>
        <v>0.04</v>
      </c>
      <c r="G73" s="31" t="str">
        <f>IF(VLOOKUP($A73,Input!$A$62:$B$74,2,FALSE)="Percentage",H$70,IF(VLOOKUP($A73,Input!$A$62:$B$74,2,FALSE)="Fixed","Fixed",(G$70)))</f>
        <v>Fixed</v>
      </c>
      <c r="H73" s="25">
        <f t="shared" ref="H73:H85" si="38">ROUND(IF(G73="Fixed",F73,(F73*G73)),2)</f>
        <v>0.04</v>
      </c>
      <c r="J73" s="173">
        <f>INDEX(Input!$C$62:$AM$74,MATCH($A73,Input!$A$62:$A$74,0),MATCH(J$61,Input!$C$61:$AM$61,0))</f>
        <v>0.04</v>
      </c>
      <c r="K73" s="31" t="str">
        <f>IF(VLOOKUP($A73,Input!$A$62:$B$74,2,FALSE)="Percentage",L$70,IF(VLOOKUP($A73,Input!$A$62:$B$74,2,FALSE)="Fixed","Fixed",(K$70)))</f>
        <v>Fixed</v>
      </c>
      <c r="L73" s="25">
        <f t="shared" ref="L73:L85" si="39">ROUND(IF(K73="Fixed",J73,(J73*K73)),2)</f>
        <v>0.04</v>
      </c>
      <c r="N73" s="173">
        <f>INDEX(Input!$C$62:$AM$74,MATCH($A73,Input!$A$62:$A$74,0),MATCH(N$61,Input!$C$61:$AM$61,0))</f>
        <v>0.04</v>
      </c>
      <c r="O73" s="31" t="str">
        <f>IF(VLOOKUP($A73,Input!$A$62:$B$74,2,FALSE)="Percentage",P$70,IF(VLOOKUP($A73,Input!$A$62:$B$74,2,FALSE)="Fixed","Fixed",(O$70)))</f>
        <v>Fixed</v>
      </c>
      <c r="P73" s="25">
        <f t="shared" ref="P73:P85" si="40">ROUND(IF(O73="Fixed",N73,(N73*O73)),2)</f>
        <v>0.04</v>
      </c>
      <c r="R73" s="173">
        <f>INDEX(Input!$C$62:$AM$74,MATCH($A73,Input!$A$62:$A$74,0),MATCH(R$61,Input!$C$61:$AM$61,0))</f>
        <v>0.04</v>
      </c>
      <c r="S73" s="31" t="str">
        <f>IF(VLOOKUP($A73,Input!$A$62:$B$74,2,FALSE)="Percentage",T$70,IF(VLOOKUP($A73,Input!$A$62:$B$74,2,FALSE)="Fixed","Fixed",(S$70)))</f>
        <v>Fixed</v>
      </c>
      <c r="T73" s="25">
        <f t="shared" ref="T73:T85" si="41">ROUND(IF(S73="Fixed",R73,(R73*S73)),2)</f>
        <v>0.04</v>
      </c>
      <c r="V73" s="173">
        <f>INDEX(Input!$C$62:$AM$74,MATCH($A73,Input!$A$62:$A$74,0),MATCH(V$61,Input!$C$61:$AM$61,0))</f>
        <v>0.04</v>
      </c>
      <c r="W73" s="31" t="str">
        <f>IF(VLOOKUP($A73,Input!$A$62:$B$74,2,FALSE)="Percentage",X$70,IF(VLOOKUP($A73,Input!$A$62:$B$74,2,FALSE)="Fixed","Fixed",(W$70)))</f>
        <v>Fixed</v>
      </c>
      <c r="X73" s="25">
        <f t="shared" ref="X73:X85" si="42">ROUND(IF(W73="Fixed",V73,(V73*W73)),2)</f>
        <v>0.04</v>
      </c>
      <c r="Z73" s="173">
        <f>INDEX(Input!$C$62:$AM$74,MATCH($A73,Input!$A$62:$A$74,0),MATCH(Z$61,Input!$C$61:$AM$61,0))</f>
        <v>0.04</v>
      </c>
      <c r="AA73" s="31" t="str">
        <f>IF(VLOOKUP($A73,Input!$A$62:$B$74,2,FALSE)="Percentage",AB$70,IF(VLOOKUP($A73,Input!$A$62:$B$74,2,FALSE)="Fixed","Fixed",(AA$70)))</f>
        <v>Fixed</v>
      </c>
      <c r="AB73" s="25">
        <f t="shared" ref="AB73:AB85" si="43">ROUND(IF(AA73="Fixed",Z73,(Z73*AA73)),2)</f>
        <v>0.04</v>
      </c>
      <c r="AD73" s="173">
        <f>INDEX(Input!$C$62:$AM$74,MATCH($A73,Input!$A$62:$A$74,0),MATCH(AD$61,Input!$C$61:$AM$61,0))</f>
        <v>0.04</v>
      </c>
      <c r="AE73" s="31" t="str">
        <f>IF(VLOOKUP($A73,Input!$A$62:$B$74,2,FALSE)="Percentage",AF$70,IF(VLOOKUP($A73,Input!$A$62:$B$74,2,FALSE)="Fixed","Fixed",(AE$70)))</f>
        <v>Fixed</v>
      </c>
      <c r="AF73" s="25">
        <f t="shared" ref="AF73:AF85" si="44">ROUND(IF(AE73="Fixed",AD73,(AD73*AE73)),2)</f>
        <v>0.04</v>
      </c>
      <c r="AH73" s="173">
        <f>INDEX(Input!$C$62:$AM$74,MATCH($A73,Input!$A$62:$A$74,0),MATCH(AH$61,Input!$C$61:$AM$61,0))</f>
        <v>0.04</v>
      </c>
      <c r="AI73" s="31" t="str">
        <f>IF(VLOOKUP($A73,Input!$A$62:$B$74,2,FALSE)="Percentage",AJ$70,IF(VLOOKUP($A73,Input!$A$62:$B$74,2,FALSE)="Fixed","Fixed",(AI$70)))</f>
        <v>Fixed</v>
      </c>
      <c r="AJ73" s="25">
        <f t="shared" ref="AJ73:AJ85" si="45">ROUND(IF(AI73="Fixed",AH73,(AH73*AI73)),2)</f>
        <v>0.04</v>
      </c>
      <c r="AL73" s="173">
        <f>INDEX(Input!$C$62:$AM$74,MATCH($A73,Input!$A$62:$A$74,0),MATCH(AL$61,Input!$C$61:$AM$61,0))</f>
        <v>0.04</v>
      </c>
      <c r="AM73" s="31" t="str">
        <f>IF(VLOOKUP($A73,Input!$A$62:$B$74,2,FALSE)="Percentage",AN$70,IF(VLOOKUP($A73,Input!$A$62:$B$74,2,FALSE)="Fixed","Fixed",(AM$70)))</f>
        <v>Fixed</v>
      </c>
      <c r="AN73" s="25">
        <f t="shared" ref="AN73:AN85" si="46">ROUND(IF(AM73="Fixed",AL73,(AL73*AM73)),2)</f>
        <v>0.04</v>
      </c>
      <c r="AP73" s="173">
        <f>INDEX(Input!$C$62:$AM$74,MATCH($A73,Input!$A$62:$A$74,0),MATCH(AP$61,Input!$C$61:$AM$61,0))</f>
        <v>0.04</v>
      </c>
      <c r="AQ73" s="31" t="str">
        <f>IF(VLOOKUP($A73,Input!$A$62:$B$74,2,FALSE)="Percentage",AR$70,IF(VLOOKUP($A73,Input!$A$62:$B$74,2,FALSE)="Fixed","Fixed",(AQ$70)))</f>
        <v>Fixed</v>
      </c>
      <c r="AR73" s="25">
        <f t="shared" ref="AR73:AR85" si="47">ROUND(IF(AQ73="Fixed",AP73,(AP73*AQ73)),2)</f>
        <v>0.04</v>
      </c>
      <c r="AS73" s="30"/>
      <c r="AT73" s="173">
        <f>INDEX(Input!$C$62:$AM$74,MATCH($A73,Input!$A$62:$A$74,0),MATCH(AT$61,Input!$C$61:$AM$61,0))</f>
        <v>0.04</v>
      </c>
      <c r="AU73" s="31" t="str">
        <f>IF(VLOOKUP($A73,Input!$A$62:$B$74,2,FALSE)="Percentage",AV$70,IF(VLOOKUP($A73,Input!$A$62:$B$74,2,FALSE)="Fixed","Fixed",(AU$70)))</f>
        <v>Fixed</v>
      </c>
      <c r="AV73" s="25">
        <f t="shared" ref="AV73:AV85" si="48">ROUND(IF(AU73="Fixed",AT73,(AT73*AU73)),2)</f>
        <v>0.04</v>
      </c>
    </row>
    <row r="74" spans="1:48" x14ac:dyDescent="0.55000000000000004">
      <c r="A74" t="str">
        <f t="shared" si="36"/>
        <v>SRF 2</v>
      </c>
      <c r="B74" s="173">
        <f>INDEX(Input!$C$62:$AM$74,MATCH($A74,Input!$A$62:$A$74,0),MATCH(B$61,Input!$C$61:$AM$61,0))</f>
        <v>0.02</v>
      </c>
      <c r="C74" s="31" t="str">
        <f>IF(VLOOKUP($A74,Input!$A$62:$B$74,2,FALSE)="Percentage",D$70,IF(VLOOKUP($A74,Input!$A$62:$B$74,2,FALSE)="Fixed","Fixed",(C$70)))</f>
        <v>Fixed</v>
      </c>
      <c r="D74" s="25">
        <f t="shared" si="37"/>
        <v>0.02</v>
      </c>
      <c r="F74" s="173">
        <f>INDEX(Input!$C$62:$AM$74,MATCH($A74,Input!$A$62:$A$74,0),MATCH(F$61,Input!$C$61:$AM$61,0))</f>
        <v>0.02</v>
      </c>
      <c r="G74" s="31" t="str">
        <f>IF(VLOOKUP($A74,Input!$A$62:$B$74,2,FALSE)="Percentage",H$70,IF(VLOOKUP($A74,Input!$A$62:$B$74,2,FALSE)="Fixed","Fixed",(G$70)))</f>
        <v>Fixed</v>
      </c>
      <c r="H74" s="25">
        <f t="shared" si="38"/>
        <v>0.02</v>
      </c>
      <c r="J74" s="173">
        <f>INDEX(Input!$C$62:$AM$74,MATCH($A74,Input!$A$62:$A$74,0),MATCH(J$61,Input!$C$61:$AM$61,0))</f>
        <v>0.02</v>
      </c>
      <c r="K74" s="31" t="str">
        <f>IF(VLOOKUP($A74,Input!$A$62:$B$74,2,FALSE)="Percentage",L$70,IF(VLOOKUP($A74,Input!$A$62:$B$74,2,FALSE)="Fixed","Fixed",(K$70)))</f>
        <v>Fixed</v>
      </c>
      <c r="L74" s="25">
        <f t="shared" si="39"/>
        <v>0.02</v>
      </c>
      <c r="N74" s="173">
        <f>INDEX(Input!$C$62:$AM$74,MATCH($A74,Input!$A$62:$A$74,0),MATCH(N$61,Input!$C$61:$AM$61,0))</f>
        <v>0.02</v>
      </c>
      <c r="O74" s="31" t="str">
        <f>IF(VLOOKUP($A74,Input!$A$62:$B$74,2,FALSE)="Percentage",P$70,IF(VLOOKUP($A74,Input!$A$62:$B$74,2,FALSE)="Fixed","Fixed",(O$70)))</f>
        <v>Fixed</v>
      </c>
      <c r="P74" s="25">
        <f t="shared" si="40"/>
        <v>0.02</v>
      </c>
      <c r="R74" s="173">
        <f>INDEX(Input!$C$62:$AM$74,MATCH($A74,Input!$A$62:$A$74,0),MATCH(R$61,Input!$C$61:$AM$61,0))</f>
        <v>0.02</v>
      </c>
      <c r="S74" s="31" t="str">
        <f>IF(VLOOKUP($A74,Input!$A$62:$B$74,2,FALSE)="Percentage",T$70,IF(VLOOKUP($A74,Input!$A$62:$B$74,2,FALSE)="Fixed","Fixed",(S$70)))</f>
        <v>Fixed</v>
      </c>
      <c r="T74" s="25">
        <f t="shared" si="41"/>
        <v>0.02</v>
      </c>
      <c r="V74" s="173">
        <f>INDEX(Input!$C$62:$AM$74,MATCH($A74,Input!$A$62:$A$74,0),MATCH(V$61,Input!$C$61:$AM$61,0))</f>
        <v>0.02</v>
      </c>
      <c r="W74" s="31" t="str">
        <f>IF(VLOOKUP($A74,Input!$A$62:$B$74,2,FALSE)="Percentage",X$70,IF(VLOOKUP($A74,Input!$A$62:$B$74,2,FALSE)="Fixed","Fixed",(W$70)))</f>
        <v>Fixed</v>
      </c>
      <c r="X74" s="25">
        <f t="shared" si="42"/>
        <v>0.02</v>
      </c>
      <c r="Z74" s="173">
        <f>INDEX(Input!$C$62:$AM$74,MATCH($A74,Input!$A$62:$A$74,0),MATCH(Z$61,Input!$C$61:$AM$61,0))</f>
        <v>0.02</v>
      </c>
      <c r="AA74" s="31" t="str">
        <f>IF(VLOOKUP($A74,Input!$A$62:$B$74,2,FALSE)="Percentage",AB$70,IF(VLOOKUP($A74,Input!$A$62:$B$74,2,FALSE)="Fixed","Fixed",(AA$70)))</f>
        <v>Fixed</v>
      </c>
      <c r="AB74" s="25">
        <f t="shared" si="43"/>
        <v>0.02</v>
      </c>
      <c r="AD74" s="173">
        <f>INDEX(Input!$C$62:$AM$74,MATCH($A74,Input!$A$62:$A$74,0),MATCH(AD$61,Input!$C$61:$AM$61,0))</f>
        <v>0.02</v>
      </c>
      <c r="AE74" s="31" t="str">
        <f>IF(VLOOKUP($A74,Input!$A$62:$B$74,2,FALSE)="Percentage",AF$70,IF(VLOOKUP($A74,Input!$A$62:$B$74,2,FALSE)="Fixed","Fixed",(AE$70)))</f>
        <v>Fixed</v>
      </c>
      <c r="AF74" s="25">
        <f t="shared" si="44"/>
        <v>0.02</v>
      </c>
      <c r="AH74" s="173">
        <f>INDEX(Input!$C$62:$AM$74,MATCH($A74,Input!$A$62:$A$74,0),MATCH(AH$61,Input!$C$61:$AM$61,0))</f>
        <v>0.02</v>
      </c>
      <c r="AI74" s="31" t="str">
        <f>IF(VLOOKUP($A74,Input!$A$62:$B$74,2,FALSE)="Percentage",AJ$70,IF(VLOOKUP($A74,Input!$A$62:$B$74,2,FALSE)="Fixed","Fixed",(AI$70)))</f>
        <v>Fixed</v>
      </c>
      <c r="AJ74" s="25">
        <f t="shared" si="45"/>
        <v>0.02</v>
      </c>
      <c r="AL74" s="173">
        <f>INDEX(Input!$C$62:$AM$74,MATCH($A74,Input!$A$62:$A$74,0),MATCH(AL$61,Input!$C$61:$AM$61,0))</f>
        <v>0.02</v>
      </c>
      <c r="AM74" s="31" t="str">
        <f>IF(VLOOKUP($A74,Input!$A$62:$B$74,2,FALSE)="Percentage",AN$70,IF(VLOOKUP($A74,Input!$A$62:$B$74,2,FALSE)="Fixed","Fixed",(AM$70)))</f>
        <v>Fixed</v>
      </c>
      <c r="AN74" s="25">
        <f t="shared" si="46"/>
        <v>0.02</v>
      </c>
      <c r="AP74" s="173">
        <f>INDEX(Input!$C$62:$AM$74,MATCH($A74,Input!$A$62:$A$74,0),MATCH(AP$61,Input!$C$61:$AM$61,0))</f>
        <v>0.02</v>
      </c>
      <c r="AQ74" s="31" t="str">
        <f>IF(VLOOKUP($A74,Input!$A$62:$B$74,2,FALSE)="Percentage",AR$70,IF(VLOOKUP($A74,Input!$A$62:$B$74,2,FALSE)="Fixed","Fixed",(AQ$70)))</f>
        <v>Fixed</v>
      </c>
      <c r="AR74" s="25">
        <f t="shared" si="47"/>
        <v>0.02</v>
      </c>
      <c r="AS74" s="30"/>
      <c r="AT74" s="173">
        <f>INDEX(Input!$C$62:$AM$74,MATCH($A74,Input!$A$62:$A$74,0),MATCH(AT$61,Input!$C$61:$AM$61,0))</f>
        <v>0.02</v>
      </c>
      <c r="AU74" s="31" t="str">
        <f>IF(VLOOKUP($A74,Input!$A$62:$B$74,2,FALSE)="Percentage",AV$70,IF(VLOOKUP($A74,Input!$A$62:$B$74,2,FALSE)="Fixed","Fixed",(AU$70)))</f>
        <v>Fixed</v>
      </c>
      <c r="AV74" s="25">
        <f t="shared" si="48"/>
        <v>0.02</v>
      </c>
    </row>
    <row r="75" spans="1:48" x14ac:dyDescent="0.55000000000000004">
      <c r="A75" t="str">
        <f t="shared" si="36"/>
        <v>WRAP</v>
      </c>
      <c r="B75" s="173">
        <f>INDEX(Input!$C$62:$AM$74,MATCH($A75,Input!$A$62:$A$74,0),MATCH(B$61,Input!$C$61:$AM$61,0))</f>
        <v>-0.15</v>
      </c>
      <c r="C75" s="31">
        <f>IF(VLOOKUP($A75,Input!$A$62:$B$74,2,FALSE)="Percentage",D$70,IF(VLOOKUP($A75,Input!$A$62:$B$74,2,FALSE)="Fixed","Fixed",(C$70)))</f>
        <v>80.484772356597574</v>
      </c>
      <c r="D75" s="25">
        <f t="shared" si="37"/>
        <v>-12.07</v>
      </c>
      <c r="F75" s="173">
        <f>INDEX(Input!$C$62:$AM$74,MATCH($A75,Input!$A$62:$A$74,0),MATCH(F$61,Input!$C$61:$AM$61,0))</f>
        <v>-0.15</v>
      </c>
      <c r="G75" s="31">
        <f>IF(VLOOKUP($A75,Input!$A$62:$B$74,2,FALSE)="Percentage",H$70,IF(VLOOKUP($A75,Input!$A$62:$B$74,2,FALSE)="Fixed","Fixed",(G$70)))</f>
        <v>80.484772356597574</v>
      </c>
      <c r="H75" s="25">
        <f t="shared" si="38"/>
        <v>-12.07</v>
      </c>
      <c r="J75" s="173">
        <f>INDEX(Input!$C$62:$AM$74,MATCH($A75,Input!$A$62:$A$74,0),MATCH(J$61,Input!$C$61:$AM$61,0))</f>
        <v>-0.15</v>
      </c>
      <c r="K75" s="31">
        <f>IF(VLOOKUP($A75,Input!$A$62:$B$74,2,FALSE)="Percentage",L$70,IF(VLOOKUP($A75,Input!$A$62:$B$74,2,FALSE)="Fixed","Fixed",(K$70)))</f>
        <v>80.484772356597574</v>
      </c>
      <c r="L75" s="25">
        <f t="shared" si="39"/>
        <v>-12.07</v>
      </c>
      <c r="N75" s="173">
        <f>INDEX(Input!$C$62:$AM$74,MATCH($A75,Input!$A$62:$A$74,0),MATCH(N$61,Input!$C$61:$AM$61,0))</f>
        <v>-0.15</v>
      </c>
      <c r="O75" s="31">
        <f>IF(VLOOKUP($A75,Input!$A$62:$B$74,2,FALSE)="Percentage",P$70,IF(VLOOKUP($A75,Input!$A$62:$B$74,2,FALSE)="Fixed","Fixed",(O$70)))</f>
        <v>80.484772356597574</v>
      </c>
      <c r="P75" s="25">
        <f t="shared" si="40"/>
        <v>-12.07</v>
      </c>
      <c r="R75" s="173">
        <f>INDEX(Input!$C$62:$AM$74,MATCH($A75,Input!$A$62:$A$74,0),MATCH(R$61,Input!$C$61:$AM$61,0))</f>
        <v>-0.15</v>
      </c>
      <c r="S75" s="31">
        <f>IF(VLOOKUP($A75,Input!$A$62:$B$74,2,FALSE)="Percentage",T$70,IF(VLOOKUP($A75,Input!$A$62:$B$74,2,FALSE)="Fixed","Fixed",(S$70)))</f>
        <v>80.484772356597574</v>
      </c>
      <c r="T75" s="25">
        <f t="shared" si="41"/>
        <v>-12.07</v>
      </c>
      <c r="V75" s="173">
        <f>INDEX(Input!$C$62:$AM$74,MATCH($A75,Input!$A$62:$A$74,0),MATCH(V$61,Input!$C$61:$AM$61,0))</f>
        <v>-0.15</v>
      </c>
      <c r="W75" s="31">
        <f>IF(VLOOKUP($A75,Input!$A$62:$B$74,2,FALSE)="Percentage",X$70,IF(VLOOKUP($A75,Input!$A$62:$B$74,2,FALSE)="Fixed","Fixed",(W$70)))</f>
        <v>80.484772356597574</v>
      </c>
      <c r="X75" s="25">
        <f t="shared" si="42"/>
        <v>-12.07</v>
      </c>
      <c r="Z75" s="173">
        <f>INDEX(Input!$C$62:$AM$74,MATCH($A75,Input!$A$62:$A$74,0),MATCH(Z$61,Input!$C$61:$AM$61,0))</f>
        <v>-0.15</v>
      </c>
      <c r="AA75" s="31">
        <f>IF(VLOOKUP($A75,Input!$A$62:$B$74,2,FALSE)="Percentage",AB$70,IF(VLOOKUP($A75,Input!$A$62:$B$74,2,FALSE)="Fixed","Fixed",(AA$70)))</f>
        <v>80.484772356597574</v>
      </c>
      <c r="AB75" s="25">
        <f t="shared" si="43"/>
        <v>-12.07</v>
      </c>
      <c r="AD75" s="173">
        <f>INDEX(Input!$C$62:$AM$74,MATCH($A75,Input!$A$62:$A$74,0),MATCH(AD$61,Input!$C$61:$AM$61,0))</f>
        <v>-0.15</v>
      </c>
      <c r="AE75" s="31">
        <f>IF(VLOOKUP($A75,Input!$A$62:$B$74,2,FALSE)="Percentage",AF$70,IF(VLOOKUP($A75,Input!$A$62:$B$74,2,FALSE)="Fixed","Fixed",(AE$70)))</f>
        <v>80.484772356597574</v>
      </c>
      <c r="AF75" s="25">
        <f t="shared" si="44"/>
        <v>-12.07</v>
      </c>
      <c r="AH75" s="173">
        <f>INDEX(Input!$C$62:$AM$74,MATCH($A75,Input!$A$62:$A$74,0),MATCH(AH$61,Input!$C$61:$AM$61,0))</f>
        <v>-0.15</v>
      </c>
      <c r="AI75" s="31">
        <f>IF(VLOOKUP($A75,Input!$A$62:$B$74,2,FALSE)="Percentage",AJ$70,IF(VLOOKUP($A75,Input!$A$62:$B$74,2,FALSE)="Fixed","Fixed",(AI$70)))</f>
        <v>80.484772356597574</v>
      </c>
      <c r="AJ75" s="25">
        <f t="shared" si="45"/>
        <v>-12.07</v>
      </c>
      <c r="AL75" s="173">
        <f>INDEX(Input!$C$62:$AM$74,MATCH($A75,Input!$A$62:$A$74,0),MATCH(AL$61,Input!$C$61:$AM$61,0))</f>
        <v>-0.15</v>
      </c>
      <c r="AM75" s="31">
        <f>IF(VLOOKUP($A75,Input!$A$62:$B$74,2,FALSE)="Percentage",AN$70,IF(VLOOKUP($A75,Input!$A$62:$B$74,2,FALSE)="Fixed","Fixed",(AM$70)))</f>
        <v>80.484772356597574</v>
      </c>
      <c r="AN75" s="25">
        <f t="shared" si="46"/>
        <v>-12.07</v>
      </c>
      <c r="AP75" s="173">
        <f>INDEX(Input!$C$62:$AM$74,MATCH($A75,Input!$A$62:$A$74,0),MATCH(AP$61,Input!$C$61:$AM$61,0))</f>
        <v>-0.15</v>
      </c>
      <c r="AQ75" s="31">
        <f>IF(VLOOKUP($A75,Input!$A$62:$B$74,2,FALSE)="Percentage",AR$70,IF(VLOOKUP($A75,Input!$A$62:$B$74,2,FALSE)="Fixed","Fixed",(AQ$70)))</f>
        <v>80.484772356597574</v>
      </c>
      <c r="AR75" s="25">
        <f t="shared" si="47"/>
        <v>-12.07</v>
      </c>
      <c r="AS75" s="30"/>
      <c r="AT75" s="173">
        <f>INDEX(Input!$C$62:$AM$74,MATCH($A75,Input!$A$62:$A$74,0),MATCH(AT$61,Input!$C$61:$AM$61,0))</f>
        <v>-0.15</v>
      </c>
      <c r="AU75" s="31">
        <f>IF(VLOOKUP($A75,Input!$A$62:$B$74,2,FALSE)="Percentage",AV$70,IF(VLOOKUP($A75,Input!$A$62:$B$74,2,FALSE)="Fixed","Fixed",(AU$70)))</f>
        <v>80.484772356597574</v>
      </c>
      <c r="AV75" s="25">
        <f t="shared" si="48"/>
        <v>-12.07</v>
      </c>
    </row>
    <row r="76" spans="1:48" x14ac:dyDescent="0.55000000000000004">
      <c r="A76" t="str">
        <f t="shared" si="36"/>
        <v>PRVMA</v>
      </c>
      <c r="B76" s="173">
        <f>INDEX(Input!$C$62:$AM$74,MATCH($A76,Input!$A$62:$A$74,0),MATCH(B$61,Input!$C$61:$AM$61,0))</f>
        <v>8.8400000000000006E-3</v>
      </c>
      <c r="C76" s="31">
        <f>IF(VLOOKUP($A76,Input!$A$62:$B$74,2,FALSE)="Percentage",D$70,IF(VLOOKUP($A76,Input!$A$62:$B$74,2,FALSE)="Fixed","Fixed",(C$70)))</f>
        <v>6</v>
      </c>
      <c r="D76" s="25">
        <f t="shared" si="37"/>
        <v>0.05</v>
      </c>
      <c r="F76" s="173">
        <f>INDEX(Input!$C$62:$AM$74,MATCH($A76,Input!$A$62:$A$74,0),MATCH(F$61,Input!$C$61:$AM$61,0))</f>
        <v>8.8400000000000006E-3</v>
      </c>
      <c r="G76" s="31">
        <f>IF(VLOOKUP($A76,Input!$A$62:$B$74,2,FALSE)="Percentage",H$70,IF(VLOOKUP($A76,Input!$A$62:$B$74,2,FALSE)="Fixed","Fixed",(G$70)))</f>
        <v>6</v>
      </c>
      <c r="H76" s="25">
        <f t="shared" si="38"/>
        <v>0.05</v>
      </c>
      <c r="J76" s="173">
        <f>INDEX(Input!$C$62:$AM$74,MATCH($A76,Input!$A$62:$A$74,0),MATCH(J$61,Input!$C$61:$AM$61,0))</f>
        <v>8.8400000000000006E-3</v>
      </c>
      <c r="K76" s="31">
        <f>IF(VLOOKUP($A76,Input!$A$62:$B$74,2,FALSE)="Percentage",L$70,IF(VLOOKUP($A76,Input!$A$62:$B$74,2,FALSE)="Fixed","Fixed",(K$70)))</f>
        <v>6</v>
      </c>
      <c r="L76" s="25">
        <f t="shared" si="39"/>
        <v>0.05</v>
      </c>
      <c r="N76" s="173">
        <f>INDEX(Input!$C$62:$AM$74,MATCH($A76,Input!$A$62:$A$74,0),MATCH(N$61,Input!$C$61:$AM$61,0))</f>
        <v>8.8400000000000006E-3</v>
      </c>
      <c r="O76" s="31">
        <f>IF(VLOOKUP($A76,Input!$A$62:$B$74,2,FALSE)="Percentage",P$70,IF(VLOOKUP($A76,Input!$A$62:$B$74,2,FALSE)="Fixed","Fixed",(O$70)))</f>
        <v>6</v>
      </c>
      <c r="P76" s="25">
        <f t="shared" si="40"/>
        <v>0.05</v>
      </c>
      <c r="R76" s="173">
        <f>INDEX(Input!$C$62:$AM$74,MATCH($A76,Input!$A$62:$A$74,0),MATCH(R$61,Input!$C$61:$AM$61,0))</f>
        <v>8.8400000000000006E-3</v>
      </c>
      <c r="S76" s="31">
        <f>IF(VLOOKUP($A76,Input!$A$62:$B$74,2,FALSE)="Percentage",T$70,IF(VLOOKUP($A76,Input!$A$62:$B$74,2,FALSE)="Fixed","Fixed",(S$70)))</f>
        <v>6</v>
      </c>
      <c r="T76" s="25">
        <f t="shared" si="41"/>
        <v>0.05</v>
      </c>
      <c r="V76" s="173">
        <f>INDEX(Input!$C$62:$AM$74,MATCH($A76,Input!$A$62:$A$74,0),MATCH(V$61,Input!$C$61:$AM$61,0))</f>
        <v>8.8400000000000006E-3</v>
      </c>
      <c r="W76" s="31">
        <f>IF(VLOOKUP($A76,Input!$A$62:$B$74,2,FALSE)="Percentage",X$70,IF(VLOOKUP($A76,Input!$A$62:$B$74,2,FALSE)="Fixed","Fixed",(W$70)))</f>
        <v>6</v>
      </c>
      <c r="X76" s="25">
        <f t="shared" si="42"/>
        <v>0.05</v>
      </c>
      <c r="Z76" s="173">
        <f>INDEX(Input!$C$62:$AM$74,MATCH($A76,Input!$A$62:$A$74,0),MATCH(Z$61,Input!$C$61:$AM$61,0))</f>
        <v>8.8400000000000006E-3</v>
      </c>
      <c r="AA76" s="31">
        <f>IF(VLOOKUP($A76,Input!$A$62:$B$74,2,FALSE)="Percentage",AB$70,IF(VLOOKUP($A76,Input!$A$62:$B$74,2,FALSE)="Fixed","Fixed",(AA$70)))</f>
        <v>6</v>
      </c>
      <c r="AB76" s="25">
        <f t="shared" si="43"/>
        <v>0.05</v>
      </c>
      <c r="AD76" s="173">
        <f>INDEX(Input!$C$62:$AM$74,MATCH($A76,Input!$A$62:$A$74,0),MATCH(AD$61,Input!$C$61:$AM$61,0))</f>
        <v>8.8400000000000006E-3</v>
      </c>
      <c r="AE76" s="31">
        <f>IF(VLOOKUP($A76,Input!$A$62:$B$74,2,FALSE)="Percentage",AF$70,IF(VLOOKUP($A76,Input!$A$62:$B$74,2,FALSE)="Fixed","Fixed",(AE$70)))</f>
        <v>6</v>
      </c>
      <c r="AF76" s="25">
        <f t="shared" si="44"/>
        <v>0.05</v>
      </c>
      <c r="AH76" s="173">
        <f>INDEX(Input!$C$62:$AM$74,MATCH($A76,Input!$A$62:$A$74,0),MATCH(AH$61,Input!$C$61:$AM$61,0))</f>
        <v>8.8400000000000006E-3</v>
      </c>
      <c r="AI76" s="31">
        <f>IF(VLOOKUP($A76,Input!$A$62:$B$74,2,FALSE)="Percentage",AJ$70,IF(VLOOKUP($A76,Input!$A$62:$B$74,2,FALSE)="Fixed","Fixed",(AI$70)))</f>
        <v>6</v>
      </c>
      <c r="AJ76" s="25">
        <f t="shared" si="45"/>
        <v>0.05</v>
      </c>
      <c r="AL76" s="173">
        <f>INDEX(Input!$C$62:$AM$74,MATCH($A76,Input!$A$62:$A$74,0),MATCH(AL$61,Input!$C$61:$AM$61,0))</f>
        <v>8.8400000000000006E-3</v>
      </c>
      <c r="AM76" s="31">
        <f>IF(VLOOKUP($A76,Input!$A$62:$B$74,2,FALSE)="Percentage",AN$70,IF(VLOOKUP($A76,Input!$A$62:$B$74,2,FALSE)="Fixed","Fixed",(AM$70)))</f>
        <v>6</v>
      </c>
      <c r="AN76" s="25">
        <f t="shared" si="46"/>
        <v>0.05</v>
      </c>
      <c r="AP76" s="173">
        <f>INDEX(Input!$C$62:$AM$74,MATCH($A76,Input!$A$62:$A$74,0),MATCH(AP$61,Input!$C$61:$AM$61,0))</f>
        <v>8.8400000000000006E-3</v>
      </c>
      <c r="AQ76" s="31">
        <f>IF(VLOOKUP($A76,Input!$A$62:$B$74,2,FALSE)="Percentage",AR$70,IF(VLOOKUP($A76,Input!$A$62:$B$74,2,FALSE)="Fixed","Fixed",(AQ$70)))</f>
        <v>6</v>
      </c>
      <c r="AR76" s="25">
        <f t="shared" si="47"/>
        <v>0.05</v>
      </c>
      <c r="AS76" s="30"/>
      <c r="AT76" s="173">
        <f>INDEX(Input!$C$62:$AM$74,MATCH($A76,Input!$A$62:$A$74,0),MATCH(AT$61,Input!$C$61:$AM$61,0))</f>
        <v>8.8400000000000006E-3</v>
      </c>
      <c r="AU76" s="31">
        <f>IF(VLOOKUP($A76,Input!$A$62:$B$74,2,FALSE)="Percentage",AV$70,IF(VLOOKUP($A76,Input!$A$62:$B$74,2,FALSE)="Fixed","Fixed",(AU$70)))</f>
        <v>6</v>
      </c>
      <c r="AV76" s="25">
        <f t="shared" si="48"/>
        <v>0.05</v>
      </c>
    </row>
    <row r="77" spans="1:48" x14ac:dyDescent="0.55000000000000004">
      <c r="A77" t="str">
        <f t="shared" si="36"/>
        <v>2022 Surcredit</v>
      </c>
      <c r="B77" s="173">
        <f>INDEX(Input!$C$62:$AM$74,MATCH($A77,Input!$A$62:$A$74,0),MATCH(B$61,Input!$C$61:$AM$61,0))</f>
        <v>0</v>
      </c>
      <c r="C77" s="31" t="str">
        <f>IF(VLOOKUP($A77,Input!$A$62:$B$74,2,FALSE)="Percentage",D$70,IF(VLOOKUP($A77,Input!$A$62:$B$74,2,FALSE)="Fixed","Fixed",(C$70)))</f>
        <v>Fixed</v>
      </c>
      <c r="D77" s="25">
        <f t="shared" si="37"/>
        <v>0</v>
      </c>
      <c r="F77" s="173">
        <f>INDEX(Input!$C$62:$AM$74,MATCH($A77,Input!$A$62:$A$74,0),MATCH(F$61,Input!$C$61:$AM$61,0))</f>
        <v>0</v>
      </c>
      <c r="G77" s="31" t="str">
        <f>IF(VLOOKUP($A77,Input!$A$62:$B$74,2,FALSE)="Percentage",H$70,IF(VLOOKUP($A77,Input!$A$62:$B$74,2,FALSE)="Fixed","Fixed",(G$70)))</f>
        <v>Fixed</v>
      </c>
      <c r="H77" s="25">
        <f t="shared" si="38"/>
        <v>0</v>
      </c>
      <c r="J77" s="173">
        <f>INDEX(Input!$C$62:$AM$74,MATCH($A77,Input!$A$62:$A$74,0),MATCH(J$61,Input!$C$61:$AM$61,0))</f>
        <v>0</v>
      </c>
      <c r="K77" s="31" t="str">
        <f>IF(VLOOKUP($A77,Input!$A$62:$B$74,2,FALSE)="Percentage",L$70,IF(VLOOKUP($A77,Input!$A$62:$B$74,2,FALSE)="Fixed","Fixed",(K$70)))</f>
        <v>Fixed</v>
      </c>
      <c r="L77" s="25">
        <f t="shared" si="39"/>
        <v>0</v>
      </c>
      <c r="N77" s="173">
        <f>INDEX(Input!$C$62:$AM$74,MATCH($A77,Input!$A$62:$A$74,0),MATCH(N$61,Input!$C$61:$AM$61,0))</f>
        <v>0</v>
      </c>
      <c r="O77" s="31" t="str">
        <f>IF(VLOOKUP($A77,Input!$A$62:$B$74,2,FALSE)="Percentage",P$70,IF(VLOOKUP($A77,Input!$A$62:$B$74,2,FALSE)="Fixed","Fixed",(O$70)))</f>
        <v>Fixed</v>
      </c>
      <c r="P77" s="25">
        <f t="shared" si="40"/>
        <v>0</v>
      </c>
      <c r="R77" s="173">
        <f>INDEX(Input!$C$62:$AM$74,MATCH($A77,Input!$A$62:$A$74,0),MATCH(R$61,Input!$C$61:$AM$61,0))</f>
        <v>0</v>
      </c>
      <c r="S77" s="31" t="str">
        <f>IF(VLOOKUP($A77,Input!$A$62:$B$74,2,FALSE)="Percentage",T$70,IF(VLOOKUP($A77,Input!$A$62:$B$74,2,FALSE)="Fixed","Fixed",(S$70)))</f>
        <v>Fixed</v>
      </c>
      <c r="T77" s="25">
        <f t="shared" si="41"/>
        <v>0</v>
      </c>
      <c r="V77" s="173">
        <f>INDEX(Input!$C$62:$AM$74,MATCH($A77,Input!$A$62:$A$74,0),MATCH(V$61,Input!$C$61:$AM$61,0))</f>
        <v>0</v>
      </c>
      <c r="W77" s="31" t="str">
        <f>IF(VLOOKUP($A77,Input!$A$62:$B$74,2,FALSE)="Percentage",X$70,IF(VLOOKUP($A77,Input!$A$62:$B$74,2,FALSE)="Fixed","Fixed",(W$70)))</f>
        <v>Fixed</v>
      </c>
      <c r="X77" s="25">
        <f t="shared" si="42"/>
        <v>0</v>
      </c>
      <c r="Z77" s="173">
        <f>INDEX(Input!$C$62:$AM$74,MATCH($A77,Input!$A$62:$A$74,0),MATCH(Z$61,Input!$C$61:$AM$61,0))</f>
        <v>0</v>
      </c>
      <c r="AA77" s="31" t="str">
        <f>IF(VLOOKUP($A77,Input!$A$62:$B$74,2,FALSE)="Percentage",AB$70,IF(VLOOKUP($A77,Input!$A$62:$B$74,2,FALSE)="Fixed","Fixed",(AA$70)))</f>
        <v>Fixed</v>
      </c>
      <c r="AB77" s="25">
        <f t="shared" si="43"/>
        <v>0</v>
      </c>
      <c r="AD77" s="173">
        <f>INDEX(Input!$C$62:$AM$74,MATCH($A77,Input!$A$62:$A$74,0),MATCH(AD$61,Input!$C$61:$AM$61,0))</f>
        <v>0</v>
      </c>
      <c r="AE77" s="31" t="str">
        <f>IF(VLOOKUP($A77,Input!$A$62:$B$74,2,FALSE)="Percentage",AF$70,IF(VLOOKUP($A77,Input!$A$62:$B$74,2,FALSE)="Fixed","Fixed",(AE$70)))</f>
        <v>Fixed</v>
      </c>
      <c r="AF77" s="25">
        <f t="shared" si="44"/>
        <v>0</v>
      </c>
      <c r="AH77" s="173">
        <f>INDEX(Input!$C$62:$AM$74,MATCH($A77,Input!$A$62:$A$74,0),MATCH(AH$61,Input!$C$61:$AM$61,0))</f>
        <v>0</v>
      </c>
      <c r="AI77" s="31" t="str">
        <f>IF(VLOOKUP($A77,Input!$A$62:$B$74,2,FALSE)="Percentage",AJ$70,IF(VLOOKUP($A77,Input!$A$62:$B$74,2,FALSE)="Fixed","Fixed",(AI$70)))</f>
        <v>Fixed</v>
      </c>
      <c r="AJ77" s="25">
        <f t="shared" si="45"/>
        <v>0</v>
      </c>
      <c r="AL77" s="173">
        <f>INDEX(Input!$C$62:$AM$74,MATCH($A77,Input!$A$62:$A$74,0),MATCH(AL$61,Input!$C$61:$AM$61,0))</f>
        <v>0</v>
      </c>
      <c r="AM77" s="31" t="str">
        <f>IF(VLOOKUP($A77,Input!$A$62:$B$74,2,FALSE)="Percentage",AN$70,IF(VLOOKUP($A77,Input!$A$62:$B$74,2,FALSE)="Fixed","Fixed",(AM$70)))</f>
        <v>Fixed</v>
      </c>
      <c r="AN77" s="25">
        <f t="shared" si="46"/>
        <v>0</v>
      </c>
      <c r="AP77" s="173">
        <f>INDEX(Input!$C$62:$AM$74,MATCH($A77,Input!$A$62:$A$74,0),MATCH(AP$61,Input!$C$61:$AM$61,0))</f>
        <v>0</v>
      </c>
      <c r="AQ77" s="31" t="str">
        <f>IF(VLOOKUP($A77,Input!$A$62:$B$74,2,FALSE)="Percentage",AR$70,IF(VLOOKUP($A77,Input!$A$62:$B$74,2,FALSE)="Fixed","Fixed",(AQ$70)))</f>
        <v>Fixed</v>
      </c>
      <c r="AR77" s="25">
        <f t="shared" si="47"/>
        <v>0</v>
      </c>
      <c r="AS77" s="30"/>
      <c r="AT77" s="173">
        <f>INDEX(Input!$C$62:$AM$74,MATCH($A77,Input!$A$62:$A$74,0),MATCH(AT$61,Input!$C$61:$AM$61,0))</f>
        <v>0</v>
      </c>
      <c r="AU77" s="31" t="str">
        <f>IF(VLOOKUP($A77,Input!$A$62:$B$74,2,FALSE)="Percentage",AV$70,IF(VLOOKUP($A77,Input!$A$62:$B$74,2,FALSE)="Fixed","Fixed",(AU$70)))</f>
        <v>Fixed</v>
      </c>
      <c r="AV77" s="25">
        <f t="shared" si="48"/>
        <v>0</v>
      </c>
    </row>
    <row r="78" spans="1:48" x14ac:dyDescent="0.55000000000000004">
      <c r="A78" t="str">
        <f t="shared" si="36"/>
        <v>Interim Memo Account Surcharge</v>
      </c>
      <c r="B78" s="173">
        <f>INDEX(Input!$C$62:$AM$74,MATCH($A78,Input!$A$62:$A$74,0),MATCH(B$61,Input!$C$61:$AM$61,0))</f>
        <v>0</v>
      </c>
      <c r="C78" s="31">
        <f>IF(VLOOKUP($A78,Input!$A$62:$B$74,2,FALSE)="Percentage",D$70,IF(VLOOKUP($A78,Input!$A$62:$B$74,2,FALSE)="Fixed","Fixed",(C$70)))</f>
        <v>6</v>
      </c>
      <c r="D78" s="25">
        <f t="shared" si="37"/>
        <v>0</v>
      </c>
      <c r="F78" s="173">
        <f>INDEX(Input!$C$62:$AM$74,MATCH($A78,Input!$A$62:$A$74,0),MATCH(F$61,Input!$C$61:$AM$61,0))</f>
        <v>0</v>
      </c>
      <c r="G78" s="31">
        <f>IF(VLOOKUP($A78,Input!$A$62:$B$74,2,FALSE)="Percentage",H$70,IF(VLOOKUP($A78,Input!$A$62:$B$74,2,FALSE)="Fixed","Fixed",(G$70)))</f>
        <v>6</v>
      </c>
      <c r="H78" s="25">
        <f t="shared" si="38"/>
        <v>0</v>
      </c>
      <c r="J78" s="173">
        <f>INDEX(Input!$C$62:$AM$74,MATCH($A78,Input!$A$62:$A$74,0),MATCH(J$61,Input!$C$61:$AM$61,0))</f>
        <v>0</v>
      </c>
      <c r="K78" s="31">
        <f>IF(VLOOKUP($A78,Input!$A$62:$B$74,2,FALSE)="Percentage",L$70,IF(VLOOKUP($A78,Input!$A$62:$B$74,2,FALSE)="Fixed","Fixed",(K$70)))</f>
        <v>6</v>
      </c>
      <c r="L78" s="25">
        <f t="shared" si="39"/>
        <v>0</v>
      </c>
      <c r="N78" s="173">
        <f>INDEX(Input!$C$62:$AM$74,MATCH($A78,Input!$A$62:$A$74,0),MATCH(N$61,Input!$C$61:$AM$61,0))</f>
        <v>0</v>
      </c>
      <c r="O78" s="31">
        <f>IF(VLOOKUP($A78,Input!$A$62:$B$74,2,FALSE)="Percentage",P$70,IF(VLOOKUP($A78,Input!$A$62:$B$74,2,FALSE)="Fixed","Fixed",(O$70)))</f>
        <v>6</v>
      </c>
      <c r="P78" s="25">
        <f t="shared" si="40"/>
        <v>0</v>
      </c>
      <c r="R78" s="173">
        <f>INDEX(Input!$C$62:$AM$74,MATCH($A78,Input!$A$62:$A$74,0),MATCH(R$61,Input!$C$61:$AM$61,0))</f>
        <v>0</v>
      </c>
      <c r="S78" s="31">
        <f>IF(VLOOKUP($A78,Input!$A$62:$B$74,2,FALSE)="Percentage",T$70,IF(VLOOKUP($A78,Input!$A$62:$B$74,2,FALSE)="Fixed","Fixed",(S$70)))</f>
        <v>6</v>
      </c>
      <c r="T78" s="25">
        <f t="shared" si="41"/>
        <v>0</v>
      </c>
      <c r="V78" s="173">
        <f>INDEX(Input!$C$62:$AM$74,MATCH($A78,Input!$A$62:$A$74,0),MATCH(V$61,Input!$C$61:$AM$61,0))</f>
        <v>0</v>
      </c>
      <c r="W78" s="31">
        <f>IF(VLOOKUP($A78,Input!$A$62:$B$74,2,FALSE)="Percentage",X$70,IF(VLOOKUP($A78,Input!$A$62:$B$74,2,FALSE)="Fixed","Fixed",(W$70)))</f>
        <v>6</v>
      </c>
      <c r="X78" s="25">
        <f t="shared" si="42"/>
        <v>0</v>
      </c>
      <c r="Z78" s="173">
        <f>INDEX(Input!$C$62:$AM$74,MATCH($A78,Input!$A$62:$A$74,0),MATCH(Z$61,Input!$C$61:$AM$61,0))</f>
        <v>0</v>
      </c>
      <c r="AA78" s="31">
        <f>IF(VLOOKUP($A78,Input!$A$62:$B$74,2,FALSE)="Percentage",AB$70,IF(VLOOKUP($A78,Input!$A$62:$B$74,2,FALSE)="Fixed","Fixed",(AA$70)))</f>
        <v>6</v>
      </c>
      <c r="AB78" s="25">
        <f t="shared" si="43"/>
        <v>0</v>
      </c>
      <c r="AD78" s="173">
        <f>INDEX(Input!$C$62:$AM$74,MATCH($A78,Input!$A$62:$A$74,0),MATCH(AD$61,Input!$C$61:$AM$61,0))</f>
        <v>0</v>
      </c>
      <c r="AE78" s="31">
        <f>IF(VLOOKUP($A78,Input!$A$62:$B$74,2,FALSE)="Percentage",AF$70,IF(VLOOKUP($A78,Input!$A$62:$B$74,2,FALSE)="Fixed","Fixed",(AE$70)))</f>
        <v>6</v>
      </c>
      <c r="AF78" s="25">
        <f t="shared" si="44"/>
        <v>0</v>
      </c>
      <c r="AH78" s="173">
        <f>INDEX(Input!$C$62:$AM$74,MATCH($A78,Input!$A$62:$A$74,0),MATCH(AH$61,Input!$C$61:$AM$61,0))</f>
        <v>0</v>
      </c>
      <c r="AI78" s="31">
        <f>IF(VLOOKUP($A78,Input!$A$62:$B$74,2,FALSE)="Percentage",AJ$70,IF(VLOOKUP($A78,Input!$A$62:$B$74,2,FALSE)="Fixed","Fixed",(AI$70)))</f>
        <v>6</v>
      </c>
      <c r="AJ78" s="25">
        <f t="shared" si="45"/>
        <v>0</v>
      </c>
      <c r="AL78" s="173">
        <f>INDEX(Input!$C$62:$AM$74,MATCH($A78,Input!$A$62:$A$74,0),MATCH(AL$61,Input!$C$61:$AM$61,0))</f>
        <v>0</v>
      </c>
      <c r="AM78" s="31">
        <f>IF(VLOOKUP($A78,Input!$A$62:$B$74,2,FALSE)="Percentage",AN$70,IF(VLOOKUP($A78,Input!$A$62:$B$74,2,FALSE)="Fixed","Fixed",(AM$70)))</f>
        <v>6</v>
      </c>
      <c r="AN78" s="25">
        <f t="shared" si="46"/>
        <v>0</v>
      </c>
      <c r="AP78" s="173">
        <f>INDEX(Input!$C$62:$AM$74,MATCH($A78,Input!$A$62:$A$74,0),MATCH(AP$61,Input!$C$61:$AM$61,0))</f>
        <v>0</v>
      </c>
      <c r="AQ78" s="31">
        <f>IF(VLOOKUP($A78,Input!$A$62:$B$74,2,FALSE)="Percentage",AR$70,IF(VLOOKUP($A78,Input!$A$62:$B$74,2,FALSE)="Fixed","Fixed",(AQ$70)))</f>
        <v>6</v>
      </c>
      <c r="AR78" s="25">
        <f t="shared" si="47"/>
        <v>0</v>
      </c>
      <c r="AS78" s="30"/>
      <c r="AT78" s="173">
        <f>INDEX(Input!$C$62:$AM$74,MATCH($A78,Input!$A$62:$A$74,0),MATCH(AT$61,Input!$C$61:$AM$61,0))</f>
        <v>0</v>
      </c>
      <c r="AU78" s="31">
        <f>IF(VLOOKUP($A78,Input!$A$62:$B$74,2,FALSE)="Percentage",AV$70,IF(VLOOKUP($A78,Input!$A$62:$B$74,2,FALSE)="Fixed","Fixed",(AU$70)))</f>
        <v>6</v>
      </c>
      <c r="AV78" s="25">
        <f t="shared" si="48"/>
        <v>0</v>
      </c>
    </row>
    <row r="79" spans="1:48" x14ac:dyDescent="0.55000000000000004">
      <c r="A79">
        <f t="shared" si="36"/>
        <v>0</v>
      </c>
      <c r="B79" s="173">
        <f>INDEX(Input!$C$62:$AM$74,MATCH($A79,Input!$A$62:$A$74,0),MATCH(B$61,Input!$C$61:$AM$61,0))</f>
        <v>0</v>
      </c>
      <c r="C79" s="31">
        <f>IF(VLOOKUP($A79,Input!$A$62:$B$74,2,FALSE)="Percentage",D$70,IF(VLOOKUP($A79,Input!$A$62:$B$74,2,FALSE)="Fixed","Fixed",(C$70)))</f>
        <v>6</v>
      </c>
      <c r="D79" s="25">
        <f t="shared" si="37"/>
        <v>0</v>
      </c>
      <c r="F79" s="173">
        <f>INDEX(Input!$C$62:$AM$74,MATCH($A79,Input!$A$62:$A$74,0),MATCH(F$61,Input!$C$61:$AM$61,0))</f>
        <v>0</v>
      </c>
      <c r="G79" s="31">
        <f>IF(VLOOKUP($A79,Input!$A$62:$B$74,2,FALSE)="Percentage",H$70,IF(VLOOKUP($A79,Input!$A$62:$B$74,2,FALSE)="Fixed","Fixed",(G$70)))</f>
        <v>6</v>
      </c>
      <c r="H79" s="25">
        <f t="shared" si="38"/>
        <v>0</v>
      </c>
      <c r="J79" s="173">
        <f>INDEX(Input!$C$62:$AM$74,MATCH($A79,Input!$A$62:$A$74,0),MATCH(J$61,Input!$C$61:$AM$61,0))</f>
        <v>0</v>
      </c>
      <c r="K79" s="31">
        <f>IF(VLOOKUP($A79,Input!$A$62:$B$74,2,FALSE)="Percentage",L$70,IF(VLOOKUP($A79,Input!$A$62:$B$74,2,FALSE)="Fixed","Fixed",(K$70)))</f>
        <v>6</v>
      </c>
      <c r="L79" s="25">
        <f t="shared" si="39"/>
        <v>0</v>
      </c>
      <c r="N79" s="173">
        <f>INDEX(Input!$C$62:$AM$74,MATCH($A79,Input!$A$62:$A$74,0),MATCH(N$61,Input!$C$61:$AM$61,0))</f>
        <v>0</v>
      </c>
      <c r="O79" s="31">
        <f>IF(VLOOKUP($A79,Input!$A$62:$B$74,2,FALSE)="Percentage",P$70,IF(VLOOKUP($A79,Input!$A$62:$B$74,2,FALSE)="Fixed","Fixed",(O$70)))</f>
        <v>6</v>
      </c>
      <c r="P79" s="25">
        <f t="shared" si="40"/>
        <v>0</v>
      </c>
      <c r="R79" s="173">
        <f>INDEX(Input!$C$62:$AM$74,MATCH($A79,Input!$A$62:$A$74,0),MATCH(R$61,Input!$C$61:$AM$61,0))</f>
        <v>0</v>
      </c>
      <c r="S79" s="31">
        <f>IF(VLOOKUP($A79,Input!$A$62:$B$74,2,FALSE)="Percentage",T$70,IF(VLOOKUP($A79,Input!$A$62:$B$74,2,FALSE)="Fixed","Fixed",(S$70)))</f>
        <v>6</v>
      </c>
      <c r="T79" s="25">
        <f t="shared" si="41"/>
        <v>0</v>
      </c>
      <c r="V79" s="173">
        <f>INDEX(Input!$C$62:$AM$74,MATCH($A79,Input!$A$62:$A$74,0),MATCH(V$61,Input!$C$61:$AM$61,0))</f>
        <v>0</v>
      </c>
      <c r="W79" s="31">
        <f>IF(VLOOKUP($A79,Input!$A$62:$B$74,2,FALSE)="Percentage",X$70,IF(VLOOKUP($A79,Input!$A$62:$B$74,2,FALSE)="Fixed","Fixed",(W$70)))</f>
        <v>6</v>
      </c>
      <c r="X79" s="25">
        <f t="shared" si="42"/>
        <v>0</v>
      </c>
      <c r="Z79" s="173">
        <f>INDEX(Input!$C$62:$AM$74,MATCH($A79,Input!$A$62:$A$74,0),MATCH(Z$61,Input!$C$61:$AM$61,0))</f>
        <v>0</v>
      </c>
      <c r="AA79" s="31">
        <f>IF(VLOOKUP($A79,Input!$A$62:$B$74,2,FALSE)="Percentage",AB$70,IF(VLOOKUP($A79,Input!$A$62:$B$74,2,FALSE)="Fixed","Fixed",(AA$70)))</f>
        <v>6</v>
      </c>
      <c r="AB79" s="25">
        <f t="shared" si="43"/>
        <v>0</v>
      </c>
      <c r="AD79" s="173">
        <f>INDEX(Input!$C$62:$AM$74,MATCH($A79,Input!$A$62:$A$74,0),MATCH(AD$61,Input!$C$61:$AM$61,0))</f>
        <v>0</v>
      </c>
      <c r="AE79" s="31">
        <f>IF(VLOOKUP($A79,Input!$A$62:$B$74,2,FALSE)="Percentage",AF$70,IF(VLOOKUP($A79,Input!$A$62:$B$74,2,FALSE)="Fixed","Fixed",(AE$70)))</f>
        <v>6</v>
      </c>
      <c r="AF79" s="25">
        <f t="shared" si="44"/>
        <v>0</v>
      </c>
      <c r="AH79" s="173">
        <f>INDEX(Input!$C$62:$AM$74,MATCH($A79,Input!$A$62:$A$74,0),MATCH(AH$61,Input!$C$61:$AM$61,0))</f>
        <v>0</v>
      </c>
      <c r="AI79" s="31">
        <f>IF(VLOOKUP($A79,Input!$A$62:$B$74,2,FALSE)="Percentage",AJ$70,IF(VLOOKUP($A79,Input!$A$62:$B$74,2,FALSE)="Fixed","Fixed",(AI$70)))</f>
        <v>6</v>
      </c>
      <c r="AJ79" s="25">
        <f t="shared" si="45"/>
        <v>0</v>
      </c>
      <c r="AL79" s="173">
        <f>INDEX(Input!$C$62:$AM$74,MATCH($A79,Input!$A$62:$A$74,0),MATCH(AL$61,Input!$C$61:$AM$61,0))</f>
        <v>0</v>
      </c>
      <c r="AM79" s="31">
        <f>IF(VLOOKUP($A79,Input!$A$62:$B$74,2,FALSE)="Percentage",AN$70,IF(VLOOKUP($A79,Input!$A$62:$B$74,2,FALSE)="Fixed","Fixed",(AM$70)))</f>
        <v>6</v>
      </c>
      <c r="AN79" s="25">
        <f t="shared" si="46"/>
        <v>0</v>
      </c>
      <c r="AP79" s="173">
        <f>INDEX(Input!$C$62:$AM$74,MATCH($A79,Input!$A$62:$A$74,0),MATCH(AP$61,Input!$C$61:$AM$61,0))</f>
        <v>0</v>
      </c>
      <c r="AQ79" s="31">
        <f>IF(VLOOKUP($A79,Input!$A$62:$B$74,2,FALSE)="Percentage",AR$70,IF(VLOOKUP($A79,Input!$A$62:$B$74,2,FALSE)="Fixed","Fixed",(AQ$70)))</f>
        <v>6</v>
      </c>
      <c r="AR79" s="25">
        <f t="shared" si="47"/>
        <v>0</v>
      </c>
      <c r="AS79" s="30"/>
      <c r="AT79" s="173">
        <f>INDEX(Input!$C$62:$AM$74,MATCH($A79,Input!$A$62:$A$74,0),MATCH(AT$61,Input!$C$61:$AM$61,0))</f>
        <v>0</v>
      </c>
      <c r="AU79" s="31">
        <f>IF(VLOOKUP($A79,Input!$A$62:$B$74,2,FALSE)="Percentage",AV$70,IF(VLOOKUP($A79,Input!$A$62:$B$74,2,FALSE)="Fixed","Fixed",(AU$70)))</f>
        <v>6</v>
      </c>
      <c r="AV79" s="25">
        <f t="shared" si="48"/>
        <v>0</v>
      </c>
    </row>
    <row r="80" spans="1:48" x14ac:dyDescent="0.55000000000000004">
      <c r="A80">
        <f t="shared" ref="A80:A85" si="49">A32</f>
        <v>0</v>
      </c>
      <c r="B80" s="173">
        <f>INDEX(Input!$C$62:$AM$74,MATCH($A80,Input!$A$62:$A$74,0),MATCH(B$61,Input!$C$61:$AM$61,0))</f>
        <v>0</v>
      </c>
      <c r="C80" s="31">
        <f>IF(VLOOKUP($A80,Input!$A$62:$B$74,2,FALSE)="Percentage",D$70,IF(VLOOKUP($A80,Input!$A$62:$B$74,2,FALSE)="Fixed","Fixed",(C$70)))</f>
        <v>6</v>
      </c>
      <c r="D80" s="25">
        <f t="shared" si="37"/>
        <v>0</v>
      </c>
      <c r="F80" s="173">
        <f>INDEX(Input!$C$62:$AM$74,MATCH($A80,Input!$A$62:$A$74,0),MATCH(F$61,Input!$C$61:$AM$61,0))</f>
        <v>0</v>
      </c>
      <c r="G80" s="31">
        <f>IF(VLOOKUP($A80,Input!$A$62:$B$74,2,FALSE)="Percentage",H$70,IF(VLOOKUP($A80,Input!$A$62:$B$74,2,FALSE)="Fixed","Fixed",(G$70)))</f>
        <v>6</v>
      </c>
      <c r="H80" s="25">
        <f t="shared" si="38"/>
        <v>0</v>
      </c>
      <c r="J80" s="173">
        <f>INDEX(Input!$C$62:$AM$74,MATCH($A80,Input!$A$62:$A$74,0),MATCH(J$61,Input!$C$61:$AM$61,0))</f>
        <v>0</v>
      </c>
      <c r="K80" s="31">
        <f>IF(VLOOKUP($A80,Input!$A$62:$B$74,2,FALSE)="Percentage",L$70,IF(VLOOKUP($A80,Input!$A$62:$B$74,2,FALSE)="Fixed","Fixed",(K$70)))</f>
        <v>6</v>
      </c>
      <c r="L80" s="25">
        <f t="shared" si="39"/>
        <v>0</v>
      </c>
      <c r="N80" s="173">
        <f>INDEX(Input!$C$62:$AM$74,MATCH($A80,Input!$A$62:$A$74,0),MATCH(N$61,Input!$C$61:$AM$61,0))</f>
        <v>0</v>
      </c>
      <c r="O80" s="31">
        <f>IF(VLOOKUP($A80,Input!$A$62:$B$74,2,FALSE)="Percentage",P$70,IF(VLOOKUP($A80,Input!$A$62:$B$74,2,FALSE)="Fixed","Fixed",(O$70)))</f>
        <v>6</v>
      </c>
      <c r="P80" s="25">
        <f t="shared" si="40"/>
        <v>0</v>
      </c>
      <c r="R80" s="173">
        <f>INDEX(Input!$C$62:$AM$74,MATCH($A80,Input!$A$62:$A$74,0),MATCH(R$61,Input!$C$61:$AM$61,0))</f>
        <v>0</v>
      </c>
      <c r="S80" s="31">
        <f>IF(VLOOKUP($A80,Input!$A$62:$B$74,2,FALSE)="Percentage",T$70,IF(VLOOKUP($A80,Input!$A$62:$B$74,2,FALSE)="Fixed","Fixed",(S$70)))</f>
        <v>6</v>
      </c>
      <c r="T80" s="25">
        <f t="shared" si="41"/>
        <v>0</v>
      </c>
      <c r="V80" s="173">
        <f>INDEX(Input!$C$62:$AM$74,MATCH($A80,Input!$A$62:$A$74,0),MATCH(V$61,Input!$C$61:$AM$61,0))</f>
        <v>0</v>
      </c>
      <c r="W80" s="31">
        <f>IF(VLOOKUP($A80,Input!$A$62:$B$74,2,FALSE)="Percentage",X$70,IF(VLOOKUP($A80,Input!$A$62:$B$74,2,FALSE)="Fixed","Fixed",(W$70)))</f>
        <v>6</v>
      </c>
      <c r="X80" s="25">
        <f t="shared" si="42"/>
        <v>0</v>
      </c>
      <c r="Z80" s="173">
        <f>INDEX(Input!$C$62:$AM$74,MATCH($A80,Input!$A$62:$A$74,0),MATCH(Z$61,Input!$C$61:$AM$61,0))</f>
        <v>0</v>
      </c>
      <c r="AA80" s="31">
        <f>IF(VLOOKUP($A80,Input!$A$62:$B$74,2,FALSE)="Percentage",AB$70,IF(VLOOKUP($A80,Input!$A$62:$B$74,2,FALSE)="Fixed","Fixed",(AA$70)))</f>
        <v>6</v>
      </c>
      <c r="AB80" s="25">
        <f t="shared" si="43"/>
        <v>0</v>
      </c>
      <c r="AD80" s="173">
        <f>INDEX(Input!$C$62:$AM$74,MATCH($A80,Input!$A$62:$A$74,0),MATCH(AD$61,Input!$C$61:$AM$61,0))</f>
        <v>0</v>
      </c>
      <c r="AE80" s="31">
        <f>IF(VLOOKUP($A80,Input!$A$62:$B$74,2,FALSE)="Percentage",AF$70,IF(VLOOKUP($A80,Input!$A$62:$B$74,2,FALSE)="Fixed","Fixed",(AE$70)))</f>
        <v>6</v>
      </c>
      <c r="AF80" s="25">
        <f t="shared" si="44"/>
        <v>0</v>
      </c>
      <c r="AH80" s="173">
        <f>INDEX(Input!$C$62:$AM$74,MATCH($A80,Input!$A$62:$A$74,0),MATCH(AH$61,Input!$C$61:$AM$61,0))</f>
        <v>0</v>
      </c>
      <c r="AI80" s="31">
        <f>IF(VLOOKUP($A80,Input!$A$62:$B$74,2,FALSE)="Percentage",AJ$70,IF(VLOOKUP($A80,Input!$A$62:$B$74,2,FALSE)="Fixed","Fixed",(AI$70)))</f>
        <v>6</v>
      </c>
      <c r="AJ80" s="25">
        <f t="shared" si="45"/>
        <v>0</v>
      </c>
      <c r="AL80" s="173">
        <f>INDEX(Input!$C$62:$AM$74,MATCH($A80,Input!$A$62:$A$74,0),MATCH(AL$61,Input!$C$61:$AM$61,0))</f>
        <v>0</v>
      </c>
      <c r="AM80" s="31">
        <f>IF(VLOOKUP($A80,Input!$A$62:$B$74,2,FALSE)="Percentage",AN$70,IF(VLOOKUP($A80,Input!$A$62:$B$74,2,FALSE)="Fixed","Fixed",(AM$70)))</f>
        <v>6</v>
      </c>
      <c r="AN80" s="25">
        <f t="shared" si="46"/>
        <v>0</v>
      </c>
      <c r="AP80" s="173">
        <f>INDEX(Input!$C$62:$AM$74,MATCH($A80,Input!$A$62:$A$74,0),MATCH(AP$61,Input!$C$61:$AM$61,0))</f>
        <v>0</v>
      </c>
      <c r="AQ80" s="31">
        <f>IF(VLOOKUP($A80,Input!$A$62:$B$74,2,FALSE)="Percentage",AR$70,IF(VLOOKUP($A80,Input!$A$62:$B$74,2,FALSE)="Fixed","Fixed",(AQ$70)))</f>
        <v>6</v>
      </c>
      <c r="AR80" s="25">
        <f t="shared" si="47"/>
        <v>0</v>
      </c>
      <c r="AS80" s="30"/>
      <c r="AT80" s="173">
        <f>INDEX(Input!$C$62:$AM$74,MATCH($A80,Input!$A$62:$A$74,0),MATCH(AT$61,Input!$C$61:$AM$61,0))</f>
        <v>0</v>
      </c>
      <c r="AU80" s="31">
        <f>IF(VLOOKUP($A80,Input!$A$62:$B$74,2,FALSE)="Percentage",AV$70,IF(VLOOKUP($A80,Input!$A$62:$B$74,2,FALSE)="Fixed","Fixed",(AU$70)))</f>
        <v>6</v>
      </c>
      <c r="AV80" s="25">
        <f t="shared" si="48"/>
        <v>0</v>
      </c>
    </row>
    <row r="81" spans="1:48" x14ac:dyDescent="0.55000000000000004">
      <c r="A81">
        <f t="shared" si="49"/>
        <v>0</v>
      </c>
      <c r="B81" s="173">
        <f>INDEX(Input!$C$62:$AM$74,MATCH($A81,Input!$A$62:$A$74,0),MATCH(B$61,Input!$C$61:$AM$61,0))</f>
        <v>0</v>
      </c>
      <c r="C81" s="31">
        <f>IF(VLOOKUP($A81,Input!$A$62:$B$74,2,FALSE)="Percentage",D$70,IF(VLOOKUP($A81,Input!$A$62:$B$74,2,FALSE)="Fixed","Fixed",(C$70)))</f>
        <v>6</v>
      </c>
      <c r="D81" s="25">
        <f t="shared" si="37"/>
        <v>0</v>
      </c>
      <c r="F81" s="173">
        <f>INDEX(Input!$C$62:$AM$74,MATCH($A81,Input!$A$62:$A$74,0),MATCH(F$61,Input!$C$61:$AM$61,0))</f>
        <v>0</v>
      </c>
      <c r="G81" s="31">
        <f>IF(VLOOKUP($A81,Input!$A$62:$B$74,2,FALSE)="Percentage",H$70,IF(VLOOKUP($A81,Input!$A$62:$B$74,2,FALSE)="Fixed","Fixed",(G$70)))</f>
        <v>6</v>
      </c>
      <c r="H81" s="25">
        <f t="shared" si="38"/>
        <v>0</v>
      </c>
      <c r="J81" s="173">
        <f>INDEX(Input!$C$62:$AM$74,MATCH($A81,Input!$A$62:$A$74,0),MATCH(J$61,Input!$C$61:$AM$61,0))</f>
        <v>0</v>
      </c>
      <c r="K81" s="31">
        <f>IF(VLOOKUP($A81,Input!$A$62:$B$74,2,FALSE)="Percentage",L$70,IF(VLOOKUP($A81,Input!$A$62:$B$74,2,FALSE)="Fixed","Fixed",(K$70)))</f>
        <v>6</v>
      </c>
      <c r="L81" s="25">
        <f t="shared" si="39"/>
        <v>0</v>
      </c>
      <c r="N81" s="173">
        <f>INDEX(Input!$C$62:$AM$74,MATCH($A81,Input!$A$62:$A$74,0),MATCH(N$61,Input!$C$61:$AM$61,0))</f>
        <v>0</v>
      </c>
      <c r="O81" s="31">
        <f>IF(VLOOKUP($A81,Input!$A$62:$B$74,2,FALSE)="Percentage",P$70,IF(VLOOKUP($A81,Input!$A$62:$B$74,2,FALSE)="Fixed","Fixed",(O$70)))</f>
        <v>6</v>
      </c>
      <c r="P81" s="25">
        <f t="shared" si="40"/>
        <v>0</v>
      </c>
      <c r="R81" s="173">
        <f>INDEX(Input!$C$62:$AM$74,MATCH($A81,Input!$A$62:$A$74,0),MATCH(R$61,Input!$C$61:$AM$61,0))</f>
        <v>0</v>
      </c>
      <c r="S81" s="31">
        <f>IF(VLOOKUP($A81,Input!$A$62:$B$74,2,FALSE)="Percentage",T$70,IF(VLOOKUP($A81,Input!$A$62:$B$74,2,FALSE)="Fixed","Fixed",(S$70)))</f>
        <v>6</v>
      </c>
      <c r="T81" s="25">
        <f t="shared" si="41"/>
        <v>0</v>
      </c>
      <c r="V81" s="173">
        <f>INDEX(Input!$C$62:$AM$74,MATCH($A81,Input!$A$62:$A$74,0),MATCH(V$61,Input!$C$61:$AM$61,0))</f>
        <v>0</v>
      </c>
      <c r="W81" s="31">
        <f>IF(VLOOKUP($A81,Input!$A$62:$B$74,2,FALSE)="Percentage",X$70,IF(VLOOKUP($A81,Input!$A$62:$B$74,2,FALSE)="Fixed","Fixed",(W$70)))</f>
        <v>6</v>
      </c>
      <c r="X81" s="25">
        <f t="shared" si="42"/>
        <v>0</v>
      </c>
      <c r="Z81" s="173">
        <f>INDEX(Input!$C$62:$AM$74,MATCH($A81,Input!$A$62:$A$74,0),MATCH(Z$61,Input!$C$61:$AM$61,0))</f>
        <v>0</v>
      </c>
      <c r="AA81" s="31">
        <f>IF(VLOOKUP($A81,Input!$A$62:$B$74,2,FALSE)="Percentage",AB$70,IF(VLOOKUP($A81,Input!$A$62:$B$74,2,FALSE)="Fixed","Fixed",(AA$70)))</f>
        <v>6</v>
      </c>
      <c r="AB81" s="25">
        <f t="shared" si="43"/>
        <v>0</v>
      </c>
      <c r="AD81" s="173">
        <f>INDEX(Input!$C$62:$AM$74,MATCH($A81,Input!$A$62:$A$74,0),MATCH(AD$61,Input!$C$61:$AM$61,0))</f>
        <v>0</v>
      </c>
      <c r="AE81" s="31">
        <f>IF(VLOOKUP($A81,Input!$A$62:$B$74,2,FALSE)="Percentage",AF$70,IF(VLOOKUP($A81,Input!$A$62:$B$74,2,FALSE)="Fixed","Fixed",(AE$70)))</f>
        <v>6</v>
      </c>
      <c r="AF81" s="25">
        <f t="shared" si="44"/>
        <v>0</v>
      </c>
      <c r="AH81" s="173">
        <f>INDEX(Input!$C$62:$AM$74,MATCH($A81,Input!$A$62:$A$74,0),MATCH(AH$61,Input!$C$61:$AM$61,0))</f>
        <v>0</v>
      </c>
      <c r="AI81" s="31">
        <f>IF(VLOOKUP($A81,Input!$A$62:$B$74,2,FALSE)="Percentage",AJ$70,IF(VLOOKUP($A81,Input!$A$62:$B$74,2,FALSE)="Fixed","Fixed",(AI$70)))</f>
        <v>6</v>
      </c>
      <c r="AJ81" s="25">
        <f t="shared" si="45"/>
        <v>0</v>
      </c>
      <c r="AL81" s="173">
        <f>INDEX(Input!$C$62:$AM$74,MATCH($A81,Input!$A$62:$A$74,0),MATCH(AL$61,Input!$C$61:$AM$61,0))</f>
        <v>0</v>
      </c>
      <c r="AM81" s="31">
        <f>IF(VLOOKUP($A81,Input!$A$62:$B$74,2,FALSE)="Percentage",AN$70,IF(VLOOKUP($A81,Input!$A$62:$B$74,2,FALSE)="Fixed","Fixed",(AM$70)))</f>
        <v>6</v>
      </c>
      <c r="AN81" s="25">
        <f t="shared" si="46"/>
        <v>0</v>
      </c>
      <c r="AP81" s="173">
        <f>INDEX(Input!$C$62:$AM$74,MATCH($A81,Input!$A$62:$A$74,0),MATCH(AP$61,Input!$C$61:$AM$61,0))</f>
        <v>0</v>
      </c>
      <c r="AQ81" s="31">
        <f>IF(VLOOKUP($A81,Input!$A$62:$B$74,2,FALSE)="Percentage",AR$70,IF(VLOOKUP($A81,Input!$A$62:$B$74,2,FALSE)="Fixed","Fixed",(AQ$70)))</f>
        <v>6</v>
      </c>
      <c r="AR81" s="25">
        <f t="shared" si="47"/>
        <v>0</v>
      </c>
      <c r="AS81" s="30"/>
      <c r="AT81" s="173">
        <f>INDEX(Input!$C$62:$AM$74,MATCH($A81,Input!$A$62:$A$74,0),MATCH(AT$61,Input!$C$61:$AM$61,0))</f>
        <v>0</v>
      </c>
      <c r="AU81" s="31">
        <f>IF(VLOOKUP($A81,Input!$A$62:$B$74,2,FALSE)="Percentage",AV$70,IF(VLOOKUP($A81,Input!$A$62:$B$74,2,FALSE)="Fixed","Fixed",(AU$70)))</f>
        <v>6</v>
      </c>
      <c r="AV81" s="25">
        <f t="shared" si="48"/>
        <v>0</v>
      </c>
    </row>
    <row r="82" spans="1:48" x14ac:dyDescent="0.55000000000000004">
      <c r="A82">
        <f t="shared" si="49"/>
        <v>0</v>
      </c>
      <c r="B82" s="173">
        <f>INDEX(Input!$C$62:$AM$74,MATCH($A82,Input!$A$62:$A$74,0),MATCH(B$61,Input!$C$61:$AM$61,0))</f>
        <v>0</v>
      </c>
      <c r="C82" s="31">
        <f>IF(VLOOKUP($A82,Input!$A$62:$B$74,2,FALSE)="Percentage",D$70,IF(VLOOKUP($A82,Input!$A$62:$B$74,2,FALSE)="Fixed","Fixed",(C$70)))</f>
        <v>6</v>
      </c>
      <c r="D82" s="25">
        <f t="shared" si="37"/>
        <v>0</v>
      </c>
      <c r="F82" s="173">
        <f>INDEX(Input!$C$62:$AM$74,MATCH($A82,Input!$A$62:$A$74,0),MATCH(F$61,Input!$C$61:$AM$61,0))</f>
        <v>0</v>
      </c>
      <c r="G82" s="31">
        <f>IF(VLOOKUP($A82,Input!$A$62:$B$74,2,FALSE)="Percentage",H$70,IF(VLOOKUP($A82,Input!$A$62:$B$74,2,FALSE)="Fixed","Fixed",(G$70)))</f>
        <v>6</v>
      </c>
      <c r="H82" s="25">
        <f t="shared" si="38"/>
        <v>0</v>
      </c>
      <c r="J82" s="173">
        <f>INDEX(Input!$C$62:$AM$74,MATCH($A82,Input!$A$62:$A$74,0),MATCH(J$61,Input!$C$61:$AM$61,0))</f>
        <v>0</v>
      </c>
      <c r="K82" s="31">
        <f>IF(VLOOKUP($A82,Input!$A$62:$B$74,2,FALSE)="Percentage",L$70,IF(VLOOKUP($A82,Input!$A$62:$B$74,2,FALSE)="Fixed","Fixed",(K$70)))</f>
        <v>6</v>
      </c>
      <c r="L82" s="25">
        <f t="shared" si="39"/>
        <v>0</v>
      </c>
      <c r="N82" s="173">
        <f>INDEX(Input!$C$62:$AM$74,MATCH($A82,Input!$A$62:$A$74,0),MATCH(N$61,Input!$C$61:$AM$61,0))</f>
        <v>0</v>
      </c>
      <c r="O82" s="31">
        <f>IF(VLOOKUP($A82,Input!$A$62:$B$74,2,FALSE)="Percentage",P$70,IF(VLOOKUP($A82,Input!$A$62:$B$74,2,FALSE)="Fixed","Fixed",(O$70)))</f>
        <v>6</v>
      </c>
      <c r="P82" s="25">
        <f t="shared" si="40"/>
        <v>0</v>
      </c>
      <c r="R82" s="173">
        <f>INDEX(Input!$C$62:$AM$74,MATCH($A82,Input!$A$62:$A$74,0),MATCH(R$61,Input!$C$61:$AM$61,0))</f>
        <v>0</v>
      </c>
      <c r="S82" s="31">
        <f>IF(VLOOKUP($A82,Input!$A$62:$B$74,2,FALSE)="Percentage",T$70,IF(VLOOKUP($A82,Input!$A$62:$B$74,2,FALSE)="Fixed","Fixed",(S$70)))</f>
        <v>6</v>
      </c>
      <c r="T82" s="25">
        <f t="shared" si="41"/>
        <v>0</v>
      </c>
      <c r="V82" s="173">
        <f>INDEX(Input!$C$62:$AM$74,MATCH($A82,Input!$A$62:$A$74,0),MATCH(V$61,Input!$C$61:$AM$61,0))</f>
        <v>0</v>
      </c>
      <c r="W82" s="31">
        <f>IF(VLOOKUP($A82,Input!$A$62:$B$74,2,FALSE)="Percentage",X$70,IF(VLOOKUP($A82,Input!$A$62:$B$74,2,FALSE)="Fixed","Fixed",(W$70)))</f>
        <v>6</v>
      </c>
      <c r="X82" s="25">
        <f t="shared" si="42"/>
        <v>0</v>
      </c>
      <c r="Z82" s="173">
        <f>INDEX(Input!$C$62:$AM$74,MATCH($A82,Input!$A$62:$A$74,0),MATCH(Z$61,Input!$C$61:$AM$61,0))</f>
        <v>0</v>
      </c>
      <c r="AA82" s="31">
        <f>IF(VLOOKUP($A82,Input!$A$62:$B$74,2,FALSE)="Percentage",AB$70,IF(VLOOKUP($A82,Input!$A$62:$B$74,2,FALSE)="Fixed","Fixed",(AA$70)))</f>
        <v>6</v>
      </c>
      <c r="AB82" s="25">
        <f t="shared" si="43"/>
        <v>0</v>
      </c>
      <c r="AD82" s="173">
        <f>INDEX(Input!$C$62:$AM$74,MATCH($A82,Input!$A$62:$A$74,0),MATCH(AD$61,Input!$C$61:$AM$61,0))</f>
        <v>0</v>
      </c>
      <c r="AE82" s="31">
        <f>IF(VLOOKUP($A82,Input!$A$62:$B$74,2,FALSE)="Percentage",AF$70,IF(VLOOKUP($A82,Input!$A$62:$B$74,2,FALSE)="Fixed","Fixed",(AE$70)))</f>
        <v>6</v>
      </c>
      <c r="AF82" s="25">
        <f t="shared" si="44"/>
        <v>0</v>
      </c>
      <c r="AH82" s="173">
        <f>INDEX(Input!$C$62:$AM$74,MATCH($A82,Input!$A$62:$A$74,0),MATCH(AH$61,Input!$C$61:$AM$61,0))</f>
        <v>0</v>
      </c>
      <c r="AI82" s="31">
        <f>IF(VLOOKUP($A82,Input!$A$62:$B$74,2,FALSE)="Percentage",AJ$70,IF(VLOOKUP($A82,Input!$A$62:$B$74,2,FALSE)="Fixed","Fixed",(AI$70)))</f>
        <v>6</v>
      </c>
      <c r="AJ82" s="25">
        <f t="shared" si="45"/>
        <v>0</v>
      </c>
      <c r="AL82" s="173">
        <f>INDEX(Input!$C$62:$AM$74,MATCH($A82,Input!$A$62:$A$74,0),MATCH(AL$61,Input!$C$61:$AM$61,0))</f>
        <v>0</v>
      </c>
      <c r="AM82" s="31">
        <f>IF(VLOOKUP($A82,Input!$A$62:$B$74,2,FALSE)="Percentage",AN$70,IF(VLOOKUP($A82,Input!$A$62:$B$74,2,FALSE)="Fixed","Fixed",(AM$70)))</f>
        <v>6</v>
      </c>
      <c r="AN82" s="25">
        <f t="shared" si="46"/>
        <v>0</v>
      </c>
      <c r="AP82" s="173">
        <f>INDEX(Input!$C$62:$AM$74,MATCH($A82,Input!$A$62:$A$74,0),MATCH(AP$61,Input!$C$61:$AM$61,0))</f>
        <v>0</v>
      </c>
      <c r="AQ82" s="31">
        <f>IF(VLOOKUP($A82,Input!$A$62:$B$74,2,FALSE)="Percentage",AR$70,IF(VLOOKUP($A82,Input!$A$62:$B$74,2,FALSE)="Fixed","Fixed",(AQ$70)))</f>
        <v>6</v>
      </c>
      <c r="AR82" s="25">
        <f t="shared" si="47"/>
        <v>0</v>
      </c>
      <c r="AS82" s="30"/>
      <c r="AT82" s="173">
        <f>INDEX(Input!$C$62:$AM$74,MATCH($A82,Input!$A$62:$A$74,0),MATCH(AT$61,Input!$C$61:$AM$61,0))</f>
        <v>0</v>
      </c>
      <c r="AU82" s="31">
        <f>IF(VLOOKUP($A82,Input!$A$62:$B$74,2,FALSE)="Percentage",AV$70,IF(VLOOKUP($A82,Input!$A$62:$B$74,2,FALSE)="Fixed","Fixed",(AU$70)))</f>
        <v>6</v>
      </c>
      <c r="AV82" s="25">
        <f t="shared" si="48"/>
        <v>0</v>
      </c>
    </row>
    <row r="83" spans="1:48" x14ac:dyDescent="0.55000000000000004">
      <c r="A83">
        <f t="shared" si="49"/>
        <v>0</v>
      </c>
      <c r="B83" s="173">
        <f>INDEX(Input!$C$62:$AM$74,MATCH($A83,Input!$A$62:$A$74,0),MATCH(B$61,Input!$C$61:$AM$61,0))</f>
        <v>0</v>
      </c>
      <c r="C83" s="31">
        <f>IF(VLOOKUP($A83,Input!$A$62:$B$74,2,FALSE)="Percentage",D$70,IF(VLOOKUP($A83,Input!$A$62:$B$74,2,FALSE)="Fixed","Fixed",(C$70)))</f>
        <v>6</v>
      </c>
      <c r="D83" s="25">
        <f t="shared" si="37"/>
        <v>0</v>
      </c>
      <c r="F83" s="173">
        <f>INDEX(Input!$C$62:$AM$74,MATCH($A83,Input!$A$62:$A$74,0),MATCH(F$61,Input!$C$61:$AM$61,0))</f>
        <v>0</v>
      </c>
      <c r="G83" s="31">
        <f>IF(VLOOKUP($A83,Input!$A$62:$B$74,2,FALSE)="Percentage",H$70,IF(VLOOKUP($A83,Input!$A$62:$B$74,2,FALSE)="Fixed","Fixed",(G$70)))</f>
        <v>6</v>
      </c>
      <c r="H83" s="25">
        <f t="shared" si="38"/>
        <v>0</v>
      </c>
      <c r="J83" s="173">
        <f>INDEX(Input!$C$62:$AM$74,MATCH($A83,Input!$A$62:$A$74,0),MATCH(J$61,Input!$C$61:$AM$61,0))</f>
        <v>0</v>
      </c>
      <c r="K83" s="31">
        <f>IF(VLOOKUP($A83,Input!$A$62:$B$74,2,FALSE)="Percentage",L$70,IF(VLOOKUP($A83,Input!$A$62:$B$74,2,FALSE)="Fixed","Fixed",(K$70)))</f>
        <v>6</v>
      </c>
      <c r="L83" s="25">
        <f t="shared" si="39"/>
        <v>0</v>
      </c>
      <c r="N83" s="173">
        <f>INDEX(Input!$C$62:$AM$74,MATCH($A83,Input!$A$62:$A$74,0),MATCH(N$61,Input!$C$61:$AM$61,0))</f>
        <v>0</v>
      </c>
      <c r="O83" s="31">
        <f>IF(VLOOKUP($A83,Input!$A$62:$B$74,2,FALSE)="Percentage",P$70,IF(VLOOKUP($A83,Input!$A$62:$B$74,2,FALSE)="Fixed","Fixed",(O$70)))</f>
        <v>6</v>
      </c>
      <c r="P83" s="25">
        <f t="shared" si="40"/>
        <v>0</v>
      </c>
      <c r="R83" s="173">
        <f>INDEX(Input!$C$62:$AM$74,MATCH($A83,Input!$A$62:$A$74,0),MATCH(R$61,Input!$C$61:$AM$61,0))</f>
        <v>0</v>
      </c>
      <c r="S83" s="31">
        <f>IF(VLOOKUP($A83,Input!$A$62:$B$74,2,FALSE)="Percentage",T$70,IF(VLOOKUP($A83,Input!$A$62:$B$74,2,FALSE)="Fixed","Fixed",(S$70)))</f>
        <v>6</v>
      </c>
      <c r="T83" s="25">
        <f t="shared" si="41"/>
        <v>0</v>
      </c>
      <c r="V83" s="173">
        <f>INDEX(Input!$C$62:$AM$74,MATCH($A83,Input!$A$62:$A$74,0),MATCH(V$61,Input!$C$61:$AM$61,0))</f>
        <v>0</v>
      </c>
      <c r="W83" s="31">
        <f>IF(VLOOKUP($A83,Input!$A$62:$B$74,2,FALSE)="Percentage",X$70,IF(VLOOKUP($A83,Input!$A$62:$B$74,2,FALSE)="Fixed","Fixed",(W$70)))</f>
        <v>6</v>
      </c>
      <c r="X83" s="25">
        <f t="shared" si="42"/>
        <v>0</v>
      </c>
      <c r="Z83" s="173">
        <f>INDEX(Input!$C$62:$AM$74,MATCH($A83,Input!$A$62:$A$74,0),MATCH(Z$61,Input!$C$61:$AM$61,0))</f>
        <v>0</v>
      </c>
      <c r="AA83" s="31">
        <f>IF(VLOOKUP($A83,Input!$A$62:$B$74,2,FALSE)="Percentage",AB$70,IF(VLOOKUP($A83,Input!$A$62:$B$74,2,FALSE)="Fixed","Fixed",(AA$70)))</f>
        <v>6</v>
      </c>
      <c r="AB83" s="25">
        <f t="shared" si="43"/>
        <v>0</v>
      </c>
      <c r="AD83" s="173">
        <f>INDEX(Input!$C$62:$AM$74,MATCH($A83,Input!$A$62:$A$74,0),MATCH(AD$61,Input!$C$61:$AM$61,0))</f>
        <v>0</v>
      </c>
      <c r="AE83" s="31">
        <f>IF(VLOOKUP($A83,Input!$A$62:$B$74,2,FALSE)="Percentage",AF$70,IF(VLOOKUP($A83,Input!$A$62:$B$74,2,FALSE)="Fixed","Fixed",(AE$70)))</f>
        <v>6</v>
      </c>
      <c r="AF83" s="25">
        <f t="shared" si="44"/>
        <v>0</v>
      </c>
      <c r="AH83" s="173">
        <f>INDEX(Input!$C$62:$AM$74,MATCH($A83,Input!$A$62:$A$74,0),MATCH(AH$61,Input!$C$61:$AM$61,0))</f>
        <v>0</v>
      </c>
      <c r="AI83" s="31">
        <f>IF(VLOOKUP($A83,Input!$A$62:$B$74,2,FALSE)="Percentage",AJ$70,IF(VLOOKUP($A83,Input!$A$62:$B$74,2,FALSE)="Fixed","Fixed",(AI$70)))</f>
        <v>6</v>
      </c>
      <c r="AJ83" s="25">
        <f t="shared" si="45"/>
        <v>0</v>
      </c>
      <c r="AL83" s="173">
        <f>INDEX(Input!$C$62:$AM$74,MATCH($A83,Input!$A$62:$A$74,0),MATCH(AL$61,Input!$C$61:$AM$61,0))</f>
        <v>0</v>
      </c>
      <c r="AM83" s="31">
        <f>IF(VLOOKUP($A83,Input!$A$62:$B$74,2,FALSE)="Percentage",AN$70,IF(VLOOKUP($A83,Input!$A$62:$B$74,2,FALSE)="Fixed","Fixed",(AM$70)))</f>
        <v>6</v>
      </c>
      <c r="AN83" s="25">
        <f t="shared" si="46"/>
        <v>0</v>
      </c>
      <c r="AP83" s="173">
        <f>INDEX(Input!$C$62:$AM$74,MATCH($A83,Input!$A$62:$A$74,0),MATCH(AP$61,Input!$C$61:$AM$61,0))</f>
        <v>0</v>
      </c>
      <c r="AQ83" s="31">
        <f>IF(VLOOKUP($A83,Input!$A$62:$B$74,2,FALSE)="Percentage",AR$70,IF(VLOOKUP($A83,Input!$A$62:$B$74,2,FALSE)="Fixed","Fixed",(AQ$70)))</f>
        <v>6</v>
      </c>
      <c r="AR83" s="25">
        <f t="shared" si="47"/>
        <v>0</v>
      </c>
      <c r="AS83" s="30"/>
      <c r="AT83" s="173">
        <f>INDEX(Input!$C$62:$AM$74,MATCH($A83,Input!$A$62:$A$74,0),MATCH(AT$61,Input!$C$61:$AM$61,0))</f>
        <v>0</v>
      </c>
      <c r="AU83" s="31">
        <f>IF(VLOOKUP($A83,Input!$A$62:$B$74,2,FALSE)="Percentage",AV$70,IF(VLOOKUP($A83,Input!$A$62:$B$74,2,FALSE)="Fixed","Fixed",(AU$70)))</f>
        <v>6</v>
      </c>
      <c r="AV83" s="25">
        <f t="shared" si="48"/>
        <v>0</v>
      </c>
    </row>
    <row r="84" spans="1:48" x14ac:dyDescent="0.55000000000000004">
      <c r="A84">
        <f t="shared" si="49"/>
        <v>0</v>
      </c>
      <c r="B84" s="173">
        <f>INDEX(Input!$C$62:$AM$74,MATCH($A84,Input!$A$62:$A$74,0),MATCH(B$61,Input!$C$61:$AM$61,0))</f>
        <v>0</v>
      </c>
      <c r="C84" s="31">
        <f>IF(VLOOKUP($A84,Input!$A$62:$B$74,2,FALSE)="Percentage",D$70,IF(VLOOKUP($A84,Input!$A$62:$B$74,2,FALSE)="Fixed","Fixed",(C$70)))</f>
        <v>6</v>
      </c>
      <c r="D84" s="25">
        <f t="shared" si="37"/>
        <v>0</v>
      </c>
      <c r="F84" s="173">
        <f>INDEX(Input!$C$62:$AM$74,MATCH($A84,Input!$A$62:$A$74,0),MATCH(F$61,Input!$C$61:$AM$61,0))</f>
        <v>0</v>
      </c>
      <c r="G84" s="31">
        <f>IF(VLOOKUP($A84,Input!$A$62:$B$74,2,FALSE)="Percentage",H$70,IF(VLOOKUP($A84,Input!$A$62:$B$74,2,FALSE)="Fixed","Fixed",(G$70)))</f>
        <v>6</v>
      </c>
      <c r="H84" s="25">
        <f t="shared" si="38"/>
        <v>0</v>
      </c>
      <c r="J84" s="173">
        <f>INDEX(Input!$C$62:$AM$74,MATCH($A84,Input!$A$62:$A$74,0),MATCH(J$61,Input!$C$61:$AM$61,0))</f>
        <v>0</v>
      </c>
      <c r="K84" s="31">
        <f>IF(VLOOKUP($A84,Input!$A$62:$B$74,2,FALSE)="Percentage",L$70,IF(VLOOKUP($A84,Input!$A$62:$B$74,2,FALSE)="Fixed","Fixed",(K$70)))</f>
        <v>6</v>
      </c>
      <c r="L84" s="25">
        <f t="shared" si="39"/>
        <v>0</v>
      </c>
      <c r="N84" s="173">
        <f>INDEX(Input!$C$62:$AM$74,MATCH($A84,Input!$A$62:$A$74,0),MATCH(N$61,Input!$C$61:$AM$61,0))</f>
        <v>0</v>
      </c>
      <c r="O84" s="31">
        <f>IF(VLOOKUP($A84,Input!$A$62:$B$74,2,FALSE)="Percentage",P$70,IF(VLOOKUP($A84,Input!$A$62:$B$74,2,FALSE)="Fixed","Fixed",(O$70)))</f>
        <v>6</v>
      </c>
      <c r="P84" s="25">
        <f t="shared" si="40"/>
        <v>0</v>
      </c>
      <c r="R84" s="173">
        <f>INDEX(Input!$C$62:$AM$74,MATCH($A84,Input!$A$62:$A$74,0),MATCH(R$61,Input!$C$61:$AM$61,0))</f>
        <v>0</v>
      </c>
      <c r="S84" s="31">
        <f>IF(VLOOKUP($A84,Input!$A$62:$B$74,2,FALSE)="Percentage",T$70,IF(VLOOKUP($A84,Input!$A$62:$B$74,2,FALSE)="Fixed","Fixed",(S$70)))</f>
        <v>6</v>
      </c>
      <c r="T84" s="25">
        <f t="shared" si="41"/>
        <v>0</v>
      </c>
      <c r="V84" s="173">
        <f>INDEX(Input!$C$62:$AM$74,MATCH($A84,Input!$A$62:$A$74,0),MATCH(V$61,Input!$C$61:$AM$61,0))</f>
        <v>0</v>
      </c>
      <c r="W84" s="31">
        <f>IF(VLOOKUP($A84,Input!$A$62:$B$74,2,FALSE)="Percentage",X$70,IF(VLOOKUP($A84,Input!$A$62:$B$74,2,FALSE)="Fixed","Fixed",(W$70)))</f>
        <v>6</v>
      </c>
      <c r="X84" s="25">
        <f t="shared" si="42"/>
        <v>0</v>
      </c>
      <c r="Z84" s="173">
        <f>INDEX(Input!$C$62:$AM$74,MATCH($A84,Input!$A$62:$A$74,0),MATCH(Z$61,Input!$C$61:$AM$61,0))</f>
        <v>0</v>
      </c>
      <c r="AA84" s="31">
        <f>IF(VLOOKUP($A84,Input!$A$62:$B$74,2,FALSE)="Percentage",AB$70,IF(VLOOKUP($A84,Input!$A$62:$B$74,2,FALSE)="Fixed","Fixed",(AA$70)))</f>
        <v>6</v>
      </c>
      <c r="AB84" s="25">
        <f t="shared" si="43"/>
        <v>0</v>
      </c>
      <c r="AD84" s="173">
        <f>INDEX(Input!$C$62:$AM$74,MATCH($A84,Input!$A$62:$A$74,0),MATCH(AD$61,Input!$C$61:$AM$61,0))</f>
        <v>0</v>
      </c>
      <c r="AE84" s="31">
        <f>IF(VLOOKUP($A84,Input!$A$62:$B$74,2,FALSE)="Percentage",AF$70,IF(VLOOKUP($A84,Input!$A$62:$B$74,2,FALSE)="Fixed","Fixed",(AE$70)))</f>
        <v>6</v>
      </c>
      <c r="AF84" s="25">
        <f t="shared" si="44"/>
        <v>0</v>
      </c>
      <c r="AH84" s="173">
        <f>INDEX(Input!$C$62:$AM$74,MATCH($A84,Input!$A$62:$A$74,0),MATCH(AH$61,Input!$C$61:$AM$61,0))</f>
        <v>0</v>
      </c>
      <c r="AI84" s="31">
        <f>IF(VLOOKUP($A84,Input!$A$62:$B$74,2,FALSE)="Percentage",AJ$70,IF(VLOOKUP($A84,Input!$A$62:$B$74,2,FALSE)="Fixed","Fixed",(AI$70)))</f>
        <v>6</v>
      </c>
      <c r="AJ84" s="25">
        <f t="shared" si="45"/>
        <v>0</v>
      </c>
      <c r="AL84" s="173">
        <f>INDEX(Input!$C$62:$AM$74,MATCH($A84,Input!$A$62:$A$74,0),MATCH(AL$61,Input!$C$61:$AM$61,0))</f>
        <v>0</v>
      </c>
      <c r="AM84" s="31">
        <f>IF(VLOOKUP($A84,Input!$A$62:$B$74,2,FALSE)="Percentage",AN$70,IF(VLOOKUP($A84,Input!$A$62:$B$74,2,FALSE)="Fixed","Fixed",(AM$70)))</f>
        <v>6</v>
      </c>
      <c r="AN84" s="25">
        <f t="shared" si="46"/>
        <v>0</v>
      </c>
      <c r="AP84" s="173">
        <f>INDEX(Input!$C$62:$AM$74,MATCH($A84,Input!$A$62:$A$74,0),MATCH(AP$61,Input!$C$61:$AM$61,0))</f>
        <v>0</v>
      </c>
      <c r="AQ84" s="31">
        <f>IF(VLOOKUP($A84,Input!$A$62:$B$74,2,FALSE)="Percentage",AR$70,IF(VLOOKUP($A84,Input!$A$62:$B$74,2,FALSE)="Fixed","Fixed",(AQ$70)))</f>
        <v>6</v>
      </c>
      <c r="AR84" s="25">
        <f t="shared" si="47"/>
        <v>0</v>
      </c>
      <c r="AS84" s="30"/>
      <c r="AT84" s="173">
        <f>INDEX(Input!$C$62:$AM$74,MATCH($A84,Input!$A$62:$A$74,0),MATCH(AT$61,Input!$C$61:$AM$61,0))</f>
        <v>0</v>
      </c>
      <c r="AU84" s="31">
        <f>IF(VLOOKUP($A84,Input!$A$62:$B$74,2,FALSE)="Percentage",AV$70,IF(VLOOKUP($A84,Input!$A$62:$B$74,2,FALSE)="Fixed","Fixed",(AU$70)))</f>
        <v>6</v>
      </c>
      <c r="AV84" s="25">
        <f t="shared" si="48"/>
        <v>0</v>
      </c>
    </row>
    <row r="85" spans="1:48" x14ac:dyDescent="0.55000000000000004">
      <c r="A85">
        <f t="shared" si="49"/>
        <v>0</v>
      </c>
      <c r="B85" s="173">
        <f>INDEX(Input!$C$62:$AM$74,MATCH($A85,Input!$A$62:$A$74,0),MATCH(B$61,Input!$C$61:$AM$61,0))</f>
        <v>0</v>
      </c>
      <c r="C85" s="31">
        <f>IF(VLOOKUP($A85,Input!$A$62:$B$74,2,FALSE)="Percentage",D$70,IF(VLOOKUP($A85,Input!$A$62:$B$74,2,FALSE)="Fixed","Fixed",(C$70)))</f>
        <v>6</v>
      </c>
      <c r="D85" s="25">
        <f t="shared" si="37"/>
        <v>0</v>
      </c>
      <c r="F85" s="173">
        <f>INDEX(Input!$C$62:$AM$74,MATCH($A85,Input!$A$62:$A$74,0),MATCH(F$61,Input!$C$61:$AM$61,0))</f>
        <v>0</v>
      </c>
      <c r="G85" s="31">
        <f>IF(VLOOKUP($A85,Input!$A$62:$B$74,2,FALSE)="Percentage",H$70,IF(VLOOKUP($A85,Input!$A$62:$B$74,2,FALSE)="Fixed","Fixed",(G$70)))</f>
        <v>6</v>
      </c>
      <c r="H85" s="25">
        <f t="shared" si="38"/>
        <v>0</v>
      </c>
      <c r="J85" s="173">
        <f>INDEX(Input!$C$62:$AM$74,MATCH($A85,Input!$A$62:$A$74,0),MATCH(J$61,Input!$C$61:$AM$61,0))</f>
        <v>0</v>
      </c>
      <c r="K85" s="31">
        <f>IF(VLOOKUP($A85,Input!$A$62:$B$74,2,FALSE)="Percentage",L$70,IF(VLOOKUP($A85,Input!$A$62:$B$74,2,FALSE)="Fixed","Fixed",(K$70)))</f>
        <v>6</v>
      </c>
      <c r="L85" s="25">
        <f t="shared" si="39"/>
        <v>0</v>
      </c>
      <c r="N85" s="173">
        <f>INDEX(Input!$C$62:$AM$74,MATCH($A85,Input!$A$62:$A$74,0),MATCH(N$61,Input!$C$61:$AM$61,0))</f>
        <v>0</v>
      </c>
      <c r="O85" s="31">
        <f>IF(VLOOKUP($A85,Input!$A$62:$B$74,2,FALSE)="Percentage",P$70,IF(VLOOKUP($A85,Input!$A$62:$B$74,2,FALSE)="Fixed","Fixed",(O$70)))</f>
        <v>6</v>
      </c>
      <c r="P85" s="25">
        <f t="shared" si="40"/>
        <v>0</v>
      </c>
      <c r="R85" s="173">
        <f>INDEX(Input!$C$62:$AM$74,MATCH($A85,Input!$A$62:$A$74,0),MATCH(R$61,Input!$C$61:$AM$61,0))</f>
        <v>0</v>
      </c>
      <c r="S85" s="31">
        <f>IF(VLOOKUP($A85,Input!$A$62:$B$74,2,FALSE)="Percentage",T$70,IF(VLOOKUP($A85,Input!$A$62:$B$74,2,FALSE)="Fixed","Fixed",(S$70)))</f>
        <v>6</v>
      </c>
      <c r="T85" s="25">
        <f t="shared" si="41"/>
        <v>0</v>
      </c>
      <c r="V85" s="173">
        <f>INDEX(Input!$C$62:$AM$74,MATCH($A85,Input!$A$62:$A$74,0),MATCH(V$61,Input!$C$61:$AM$61,0))</f>
        <v>0</v>
      </c>
      <c r="W85" s="31">
        <f>IF(VLOOKUP($A85,Input!$A$62:$B$74,2,FALSE)="Percentage",X$70,IF(VLOOKUP($A85,Input!$A$62:$B$74,2,FALSE)="Fixed","Fixed",(W$70)))</f>
        <v>6</v>
      </c>
      <c r="X85" s="25">
        <f t="shared" si="42"/>
        <v>0</v>
      </c>
      <c r="Z85" s="173">
        <f>INDEX(Input!$C$62:$AM$74,MATCH($A85,Input!$A$62:$A$74,0),MATCH(Z$61,Input!$C$61:$AM$61,0))</f>
        <v>0</v>
      </c>
      <c r="AA85" s="31">
        <f>IF(VLOOKUP($A85,Input!$A$62:$B$74,2,FALSE)="Percentage",AB$70,IF(VLOOKUP($A85,Input!$A$62:$B$74,2,FALSE)="Fixed","Fixed",(AA$70)))</f>
        <v>6</v>
      </c>
      <c r="AB85" s="25">
        <f t="shared" si="43"/>
        <v>0</v>
      </c>
      <c r="AD85" s="173">
        <f>INDEX(Input!$C$62:$AM$74,MATCH($A85,Input!$A$62:$A$74,0),MATCH(AD$61,Input!$C$61:$AM$61,0))</f>
        <v>0</v>
      </c>
      <c r="AE85" s="31">
        <f>IF(VLOOKUP($A85,Input!$A$62:$B$74,2,FALSE)="Percentage",AF$70,IF(VLOOKUP($A85,Input!$A$62:$B$74,2,FALSE)="Fixed","Fixed",(AE$70)))</f>
        <v>6</v>
      </c>
      <c r="AF85" s="25">
        <f t="shared" si="44"/>
        <v>0</v>
      </c>
      <c r="AH85" s="173">
        <f>INDEX(Input!$C$62:$AM$74,MATCH($A85,Input!$A$62:$A$74,0),MATCH(AH$61,Input!$C$61:$AM$61,0))</f>
        <v>0</v>
      </c>
      <c r="AI85" s="31">
        <f>IF(VLOOKUP($A85,Input!$A$62:$B$74,2,FALSE)="Percentage",AJ$70,IF(VLOOKUP($A85,Input!$A$62:$B$74,2,FALSE)="Fixed","Fixed",(AI$70)))</f>
        <v>6</v>
      </c>
      <c r="AJ85" s="25">
        <f t="shared" si="45"/>
        <v>0</v>
      </c>
      <c r="AL85" s="173">
        <f>INDEX(Input!$C$62:$AM$74,MATCH($A85,Input!$A$62:$A$74,0),MATCH(AL$61,Input!$C$61:$AM$61,0))</f>
        <v>0</v>
      </c>
      <c r="AM85" s="31">
        <f>IF(VLOOKUP($A85,Input!$A$62:$B$74,2,FALSE)="Percentage",AN$70,IF(VLOOKUP($A85,Input!$A$62:$B$74,2,FALSE)="Fixed","Fixed",(AM$70)))</f>
        <v>6</v>
      </c>
      <c r="AN85" s="25">
        <f t="shared" si="46"/>
        <v>0</v>
      </c>
      <c r="AP85" s="173">
        <f>INDEX(Input!$C$62:$AM$74,MATCH($A85,Input!$A$62:$A$74,0),MATCH(AP$61,Input!$C$61:$AM$61,0))</f>
        <v>0</v>
      </c>
      <c r="AQ85" s="31">
        <f>IF(VLOOKUP($A85,Input!$A$62:$B$74,2,FALSE)="Percentage",AR$70,IF(VLOOKUP($A85,Input!$A$62:$B$74,2,FALSE)="Fixed","Fixed",(AQ$70)))</f>
        <v>6</v>
      </c>
      <c r="AR85" s="25">
        <f t="shared" si="47"/>
        <v>0</v>
      </c>
      <c r="AS85" s="30"/>
      <c r="AT85" s="173">
        <f>INDEX(Input!$C$62:$AM$74,MATCH($A85,Input!$A$62:$A$74,0),MATCH(AT$61,Input!$C$61:$AM$61,0))</f>
        <v>0</v>
      </c>
      <c r="AU85" s="31">
        <f>IF(VLOOKUP($A85,Input!$A$62:$B$74,2,FALSE)="Percentage",AV$70,IF(VLOOKUP($A85,Input!$A$62:$B$74,2,FALSE)="Fixed","Fixed",(AU$70)))</f>
        <v>6</v>
      </c>
      <c r="AV85" s="25">
        <f t="shared" si="48"/>
        <v>0</v>
      </c>
    </row>
    <row r="86" spans="1:48" x14ac:dyDescent="0.55000000000000004">
      <c r="A86" t="s">
        <v>39</v>
      </c>
      <c r="B86" s="16"/>
      <c r="C86" s="17"/>
      <c r="D86" s="26">
        <f>SUM(D73:D85)</f>
        <v>-11.959999999999999</v>
      </c>
      <c r="F86" s="16"/>
      <c r="G86" s="17"/>
      <c r="H86" s="26">
        <f>SUM(H73:H85)</f>
        <v>-11.959999999999999</v>
      </c>
      <c r="J86" s="16"/>
      <c r="K86" s="17"/>
      <c r="L86" s="26">
        <f>SUM(L73:L85)</f>
        <v>-11.959999999999999</v>
      </c>
      <c r="N86" s="16"/>
      <c r="O86" s="17"/>
      <c r="P86" s="26">
        <f>SUM(P73:P85)</f>
        <v>-11.959999999999999</v>
      </c>
      <c r="R86" s="16"/>
      <c r="S86" s="17"/>
      <c r="T86" s="26">
        <f>SUM(T73:T85)</f>
        <v>-11.959999999999999</v>
      </c>
      <c r="V86" s="16"/>
      <c r="W86" s="17"/>
      <c r="X86" s="26">
        <f>SUM(X73:X85)</f>
        <v>-11.959999999999999</v>
      </c>
      <c r="Z86" s="16"/>
      <c r="AA86" s="17"/>
      <c r="AB86" s="26">
        <f>SUM(AB73:AB85)</f>
        <v>-11.959999999999999</v>
      </c>
      <c r="AD86" s="16"/>
      <c r="AE86" s="17"/>
      <c r="AF86" s="26">
        <f>SUM(AF73:AF85)</f>
        <v>-11.959999999999999</v>
      </c>
      <c r="AH86" s="16"/>
      <c r="AI86" s="17"/>
      <c r="AJ86" s="26">
        <f>SUM(AJ73:AJ85)</f>
        <v>-11.959999999999999</v>
      </c>
      <c r="AL86" s="16"/>
      <c r="AM86" s="17"/>
      <c r="AN86" s="26">
        <f>SUM(AN73:AN85)</f>
        <v>-11.959999999999999</v>
      </c>
      <c r="AP86" s="16"/>
      <c r="AQ86" s="17"/>
      <c r="AR86" s="26">
        <f>SUM(AR73:AR85)</f>
        <v>-11.959999999999999</v>
      </c>
      <c r="AS86" s="64"/>
      <c r="AT86" s="16"/>
      <c r="AU86" s="17"/>
      <c r="AV86" s="26">
        <f>SUM(AV73:AV85)</f>
        <v>-11.959999999999999</v>
      </c>
    </row>
    <row r="87" spans="1:48" x14ac:dyDescent="0.55000000000000004">
      <c r="B87" s="16"/>
      <c r="C87" s="17"/>
      <c r="D87" s="19"/>
      <c r="F87" s="16"/>
      <c r="G87" s="17"/>
      <c r="H87" s="19"/>
      <c r="J87" s="16"/>
      <c r="K87" s="17"/>
      <c r="L87" s="19"/>
      <c r="N87" s="16"/>
      <c r="O87" s="17"/>
      <c r="P87" s="19"/>
      <c r="R87" s="16"/>
      <c r="S87" s="17"/>
      <c r="T87" s="19"/>
      <c r="V87" s="16"/>
      <c r="W87" s="17"/>
      <c r="X87" s="19"/>
      <c r="Z87" s="16"/>
      <c r="AA87" s="17"/>
      <c r="AB87" s="19"/>
      <c r="AD87" s="16"/>
      <c r="AE87" s="17"/>
      <c r="AF87" s="19"/>
      <c r="AH87" s="16"/>
      <c r="AI87" s="17"/>
      <c r="AJ87" s="19"/>
      <c r="AL87" s="16"/>
      <c r="AM87" s="17"/>
      <c r="AN87" s="19"/>
      <c r="AP87" s="16"/>
      <c r="AQ87" s="17"/>
      <c r="AR87" s="19"/>
      <c r="AS87" s="17"/>
      <c r="AT87" s="16"/>
      <c r="AU87" s="17"/>
      <c r="AV87" s="19"/>
    </row>
    <row r="88" spans="1:48" x14ac:dyDescent="0.55000000000000004">
      <c r="A88" s="1" t="s">
        <v>35</v>
      </c>
      <c r="B88" s="20" t="s">
        <v>29</v>
      </c>
      <c r="C88" s="21" t="s">
        <v>45</v>
      </c>
      <c r="D88" s="22" t="s">
        <v>30</v>
      </c>
      <c r="F88" s="20" t="s">
        <v>29</v>
      </c>
      <c r="G88" s="21" t="s">
        <v>45</v>
      </c>
      <c r="H88" s="111" t="s">
        <v>30</v>
      </c>
      <c r="J88" s="20" t="s">
        <v>29</v>
      </c>
      <c r="K88" s="21" t="s">
        <v>45</v>
      </c>
      <c r="L88" s="111" t="s">
        <v>30</v>
      </c>
      <c r="N88" s="20" t="s">
        <v>29</v>
      </c>
      <c r="O88" s="21" t="s">
        <v>45</v>
      </c>
      <c r="P88" s="111" t="s">
        <v>30</v>
      </c>
      <c r="R88" s="20" t="s">
        <v>29</v>
      </c>
      <c r="S88" s="21" t="s">
        <v>45</v>
      </c>
      <c r="T88" s="111" t="s">
        <v>30</v>
      </c>
      <c r="V88" s="20" t="s">
        <v>29</v>
      </c>
      <c r="W88" s="21" t="s">
        <v>45</v>
      </c>
      <c r="X88" s="111" t="s">
        <v>30</v>
      </c>
      <c r="Z88" s="20" t="s">
        <v>29</v>
      </c>
      <c r="AA88" s="21" t="s">
        <v>45</v>
      </c>
      <c r="AB88" s="111" t="s">
        <v>30</v>
      </c>
      <c r="AD88" s="20" t="s">
        <v>29</v>
      </c>
      <c r="AE88" s="21" t="s">
        <v>45</v>
      </c>
      <c r="AF88" s="111" t="s">
        <v>30</v>
      </c>
      <c r="AH88" s="20" t="s">
        <v>29</v>
      </c>
      <c r="AI88" s="21" t="s">
        <v>45</v>
      </c>
      <c r="AJ88" s="111" t="s">
        <v>30</v>
      </c>
      <c r="AL88" s="20" t="s">
        <v>29</v>
      </c>
      <c r="AM88" s="21" t="s">
        <v>45</v>
      </c>
      <c r="AN88" s="111" t="s">
        <v>30</v>
      </c>
      <c r="AP88" s="20" t="s">
        <v>29</v>
      </c>
      <c r="AQ88" s="21" t="s">
        <v>45</v>
      </c>
      <c r="AR88" s="111" t="s">
        <v>30</v>
      </c>
      <c r="AS88" s="170"/>
      <c r="AT88" s="20" t="s">
        <v>29</v>
      </c>
      <c r="AU88" s="21" t="s">
        <v>45</v>
      </c>
      <c r="AV88" s="111" t="s">
        <v>30</v>
      </c>
    </row>
    <row r="89" spans="1:48" x14ac:dyDescent="0.55000000000000004">
      <c r="A89" t="str">
        <f>A41</f>
        <v>CPUC Fee</v>
      </c>
      <c r="B89" s="29">
        <f>INDEX(Input!$C$77:$AL$82,MATCH('Residential Bills_Yr 1_avg'!$A$41,Input!$A$77:$A$82,0),MATCH('Residential Bills_Yr 1_avg'!B61:D61,Input!$C$76:$AL$76,0))</f>
        <v>1.43E-2</v>
      </c>
      <c r="C89" s="30">
        <f>D70+D86</f>
        <v>68.52477235659758</v>
      </c>
      <c r="D89" s="25">
        <f>ROUND(B89*C89,2)</f>
        <v>0.98</v>
      </c>
      <c r="F89" s="29">
        <f>INDEX(Input!$C$77:$AL$82,MATCH('Residential Bills_Yr 1_avg'!$A$41,Input!$A$77:$A$82,0),MATCH('Residential Bills_Yr 1_avg'!F61:H61,Input!$C$76:$AL$76,0))</f>
        <v>1.43E-2</v>
      </c>
      <c r="G89" s="30">
        <f>H70+H86</f>
        <v>68.52477235659758</v>
      </c>
      <c r="H89" s="25">
        <f>ROUND(F89*G89,2)</f>
        <v>0.98</v>
      </c>
      <c r="J89" s="29">
        <f>INDEX(Input!$C$77:$AL$82,MATCH('Residential Bills_Yr 1_avg'!$A$41,Input!$A$77:$A$82,0),MATCH('Residential Bills_Yr 1_avg'!J61:L61,Input!$C$76:$AL$76,0))</f>
        <v>1.43E-2</v>
      </c>
      <c r="K89" s="30">
        <f>L70+L86</f>
        <v>68.52477235659758</v>
      </c>
      <c r="L89" s="25">
        <f>ROUND(J89*K89,2)</f>
        <v>0.98</v>
      </c>
      <c r="N89" s="29">
        <f>INDEX(Input!$C$77:$AL$82,MATCH('Residential Bills_Yr 1_avg'!$A$41,Input!$A$77:$A$82,0),MATCH('Residential Bills_Yr 1_avg'!N61:P61,Input!$C$76:$AL$76,0))</f>
        <v>1.43E-2</v>
      </c>
      <c r="O89" s="30">
        <f>P70+P86</f>
        <v>68.52477235659758</v>
      </c>
      <c r="P89" s="25">
        <f>ROUND(N89*O89,2)</f>
        <v>0.98</v>
      </c>
      <c r="R89" s="29">
        <f>INDEX(Input!$C$77:$AL$82,MATCH('Residential Bills_Yr 1_avg'!$A$41,Input!$A$77:$A$82,0),MATCH('Residential Bills_Yr 1_avg'!R61:T61,Input!$C$76:$AL$76,0))</f>
        <v>1.43E-2</v>
      </c>
      <c r="S89" s="30">
        <f>T70+T86</f>
        <v>68.52477235659758</v>
      </c>
      <c r="T89" s="25">
        <f>ROUND(R89*S89,2)</f>
        <v>0.98</v>
      </c>
      <c r="V89" s="29">
        <f>INDEX(Input!$C$77:$AL$82,MATCH('Residential Bills_Yr 1_avg'!$A$41,Input!$A$77:$A$82,0),MATCH('Residential Bills_Yr 1_avg'!V61:X61,Input!$C$76:$AL$76,0))</f>
        <v>1.43E-2</v>
      </c>
      <c r="W89" s="30">
        <f>X70+X86</f>
        <v>68.52477235659758</v>
      </c>
      <c r="X89" s="25">
        <f>ROUND(V89*W89,2)</f>
        <v>0.98</v>
      </c>
      <c r="Z89" s="29">
        <f>INDEX(Input!$C$77:$AL$82,MATCH('Residential Bills_Yr 1_avg'!$A$41,Input!$A$77:$A$82,0),MATCH('Residential Bills_Yr 1_avg'!Z61:AB61,Input!$C$76:$AL$76,0))</f>
        <v>1.43E-2</v>
      </c>
      <c r="AA89" s="30">
        <f>AB70+AB86</f>
        <v>68.52477235659758</v>
      </c>
      <c r="AB89" s="25">
        <f>ROUND(Z89*AA89,2)</f>
        <v>0.98</v>
      </c>
      <c r="AD89" s="29">
        <f>INDEX(Input!$C$77:$AL$82,MATCH('Residential Bills_Yr 1_avg'!$A$41,Input!$A$77:$A$82,0),MATCH('Residential Bills_Yr 1_avg'!AD61:AF61,Input!$C$76:$AL$76,0))</f>
        <v>1.43E-2</v>
      </c>
      <c r="AE89" s="30">
        <f>AF70+AF86</f>
        <v>68.52477235659758</v>
      </c>
      <c r="AF89" s="25">
        <f>ROUND(AD89*AE89,2)</f>
        <v>0.98</v>
      </c>
      <c r="AH89" s="29">
        <f>INDEX(Input!$C$77:$AL$82,MATCH('Residential Bills_Yr 1_avg'!$A$41,Input!$A$77:$A$82,0),MATCH('Residential Bills_Yr 1_avg'!AH61:AJ61,Input!$C$76:$AL$76,0))</f>
        <v>1.43E-2</v>
      </c>
      <c r="AI89" s="30">
        <f>AJ70+AJ86</f>
        <v>68.52477235659758</v>
      </c>
      <c r="AJ89" s="25">
        <f>ROUND(AH89*AI89,2)</f>
        <v>0.98</v>
      </c>
      <c r="AL89" s="29">
        <f>INDEX(Input!$C$77:$AL$82,MATCH('Residential Bills_Yr 1_avg'!$A$41,Input!$A$77:$A$82,0),MATCH('Residential Bills_Yr 1_avg'!AL61:AN61,Input!$C$76:$AL$76,0))</f>
        <v>1.43E-2</v>
      </c>
      <c r="AM89" s="30">
        <f>AN70+AN86</f>
        <v>68.52477235659758</v>
      </c>
      <c r="AN89" s="25">
        <f>ROUND(AL89*AM89,2)</f>
        <v>0.98</v>
      </c>
      <c r="AP89" s="29">
        <f>INDEX(Input!$C$77:$AL$82,MATCH('Residential Bills_Yr 1_avg'!$A$41,Input!$A$77:$A$82,0),MATCH('Residential Bills_Yr 1_avg'!AP61:AR61,Input!$C$76:$AL$76,0))</f>
        <v>1.43E-2</v>
      </c>
      <c r="AQ89" s="30">
        <f>AR70+AR86</f>
        <v>68.52477235659758</v>
      </c>
      <c r="AR89" s="25">
        <f>ROUND(AP89*AQ89,2)</f>
        <v>0.98</v>
      </c>
      <c r="AS89" s="30"/>
      <c r="AT89" s="29">
        <f>INDEX(Input!$C$77:$AL$82,MATCH('Residential Bills_Yr 1_avg'!$A$41,Input!$A$77:$A$82,0),MATCH('Residential Bills_Yr 1_avg'!AT61:AV61,Input!$C$76:$AL$76,0))</f>
        <v>1.43E-2</v>
      </c>
      <c r="AU89" s="30">
        <f>AV70+AV86</f>
        <v>68.52477235659758</v>
      </c>
      <c r="AV89" s="25">
        <f>ROUND(AT89*AU89,2)</f>
        <v>0.98</v>
      </c>
    </row>
    <row r="90" spans="1:48" ht="14.5" customHeight="1" x14ac:dyDescent="0.55000000000000004">
      <c r="A90" t="str">
        <f>+A42</f>
        <v>CSJ UTT</v>
      </c>
      <c r="B90" s="29">
        <f>INDEX(Input!$C$77:$AL$82,MATCH('Residential Bills_Yr 1_avg'!$A$42,Input!$A$77:$A$82,0),MATCH('Residential Bills_Yr 1_avg'!B61,Input!$C$76:$AL$76,0))</f>
        <v>0.05</v>
      </c>
      <c r="C90" s="30">
        <f>D70+D86+D89</f>
        <v>69.504772356597584</v>
      </c>
      <c r="D90" s="25">
        <f>ROUND(B90*C90,2)</f>
        <v>3.48</v>
      </c>
      <c r="F90" s="29">
        <f>INDEX(Input!$C$77:$AL$82,MATCH('Residential Bills_Yr 1_avg'!$A$42,Input!$A$77:$A$82,0),MATCH('Residential Bills_Yr 1_avg'!F61,Input!$C$76:$AL$76,0))</f>
        <v>0.05</v>
      </c>
      <c r="G90" s="30">
        <f>H70+H86+H89</f>
        <v>69.504772356597584</v>
      </c>
      <c r="H90" s="25">
        <f>ROUND(F90*G90,2)</f>
        <v>3.48</v>
      </c>
      <c r="J90" s="29">
        <f>INDEX(Input!$C$77:$AL$82,MATCH('Residential Bills_Yr 1_avg'!$A$42,Input!$A$77:$A$82,0),MATCH('Residential Bills_Yr 1_avg'!J61,Input!$C$76:$AL$76,0))</f>
        <v>0.05</v>
      </c>
      <c r="K90" s="30">
        <f>L70+L86+L89</f>
        <v>69.504772356597584</v>
      </c>
      <c r="L90" s="25">
        <f>ROUND(J90*K90,2)</f>
        <v>3.48</v>
      </c>
      <c r="N90" s="29">
        <f>INDEX(Input!$C$77:$AL$82,MATCH('Residential Bills_Yr 1_avg'!$A$42,Input!$A$77:$A$82,0),MATCH('Residential Bills_Yr 1_avg'!N61,Input!$C$76:$AL$76,0))</f>
        <v>0.05</v>
      </c>
      <c r="O90" s="30">
        <f>P70+P86+P89</f>
        <v>69.504772356597584</v>
      </c>
      <c r="P90" s="25">
        <f>ROUND(N90*O90,2)</f>
        <v>3.48</v>
      </c>
      <c r="R90" s="29">
        <f>INDEX(Input!$C$77:$AL$82,MATCH('Residential Bills_Yr 1_avg'!$A$42,Input!$A$77:$A$82,0),MATCH('Residential Bills_Yr 1_avg'!R61,Input!$C$76:$AL$76,0))</f>
        <v>0.05</v>
      </c>
      <c r="S90" s="30">
        <f>T70+T86+T89</f>
        <v>69.504772356597584</v>
      </c>
      <c r="T90" s="25">
        <f>ROUND(R90*S90,2)</f>
        <v>3.48</v>
      </c>
      <c r="V90" s="29">
        <f>INDEX(Input!$C$77:$AL$82,MATCH('Residential Bills_Yr 1_avg'!$A$42,Input!$A$77:$A$82,0),MATCH('Residential Bills_Yr 1_avg'!V61,Input!$C$76:$AL$76,0))</f>
        <v>0.05</v>
      </c>
      <c r="W90" s="30">
        <f>X70+X86+X89</f>
        <v>69.504772356597584</v>
      </c>
      <c r="X90" s="25">
        <f>ROUND(V90*W90,2)</f>
        <v>3.48</v>
      </c>
      <c r="Z90" s="29">
        <f>INDEX(Input!$C$77:$AL$82,MATCH('Residential Bills_Yr 1_avg'!$A$42,Input!$A$77:$A$82,0),MATCH('Residential Bills_Yr 1_avg'!Z61,Input!$C$76:$AL$76,0))</f>
        <v>0.05</v>
      </c>
      <c r="AA90" s="30">
        <f>AB70+AB86+AB89</f>
        <v>69.504772356597584</v>
      </c>
      <c r="AB90" s="25">
        <f>ROUND(Z90*AA90,2)</f>
        <v>3.48</v>
      </c>
      <c r="AD90" s="29">
        <f>INDEX(Input!$C$77:$AL$82,MATCH('Residential Bills_Yr 1_avg'!$A$42,Input!$A$77:$A$82,0),MATCH('Residential Bills_Yr 1_avg'!AD61,Input!$C$76:$AL$76,0))</f>
        <v>0.05</v>
      </c>
      <c r="AE90" s="30">
        <f>AF70+AF86+AF89</f>
        <v>69.504772356597584</v>
      </c>
      <c r="AF90" s="25">
        <f>ROUND(AD90*AE90,2)</f>
        <v>3.48</v>
      </c>
      <c r="AH90" s="29">
        <f>INDEX(Input!$C$77:$AL$82,MATCH('Residential Bills_Yr 1_avg'!$A$42,Input!$A$77:$A$82,0),MATCH('Residential Bills_Yr 1_avg'!AH61,Input!$C$76:$AL$76,0))</f>
        <v>0.05</v>
      </c>
      <c r="AI90" s="30">
        <f>AJ70+AJ86+AJ89</f>
        <v>69.504772356597584</v>
      </c>
      <c r="AJ90" s="25">
        <f>ROUND(AH90*AI90,2)</f>
        <v>3.48</v>
      </c>
      <c r="AL90" s="29">
        <f>INDEX(Input!$C$77:$AL$82,MATCH('Residential Bills_Yr 1_avg'!$A$42,Input!$A$77:$A$82,0),MATCH('Residential Bills_Yr 1_avg'!AL61,Input!$C$76:$AL$76,0))</f>
        <v>0.05</v>
      </c>
      <c r="AM90" s="30">
        <f>AN70+AN86+AN89</f>
        <v>69.504772356597584</v>
      </c>
      <c r="AN90" s="25">
        <f>ROUND(AL90*AM90,2)</f>
        <v>3.48</v>
      </c>
      <c r="AP90" s="29">
        <f>INDEX(Input!$C$77:$AL$82,MATCH('Residential Bills_Yr 1_avg'!$A$42,Input!$A$77:$A$82,0),MATCH('Residential Bills_Yr 1_avg'!AP61,Input!$C$76:$AL$76,0))</f>
        <v>0.05</v>
      </c>
      <c r="AQ90" s="30">
        <f>AR70+AR86+AR89</f>
        <v>69.504772356597584</v>
      </c>
      <c r="AR90" s="25">
        <f>ROUND(AP90*AQ90,2)</f>
        <v>3.48</v>
      </c>
      <c r="AS90" s="17"/>
      <c r="AT90" s="29">
        <f>INDEX(Input!$C$77:$AL$82,MATCH('Residential Bills_Yr 1_avg'!$A$42,Input!$A$77:$A$82,0),MATCH('Residential Bills_Yr 1_avg'!AT61,Input!$C$76:$AL$76,0))</f>
        <v>0.05</v>
      </c>
      <c r="AU90" s="30">
        <f>AV70+AV86+AV89</f>
        <v>69.504772356597584</v>
      </c>
      <c r="AV90" s="25">
        <f>ROUND(AT90*AU90,2)</f>
        <v>3.48</v>
      </c>
    </row>
    <row r="91" spans="1:48" ht="14.5" customHeight="1" x14ac:dyDescent="0.55000000000000004">
      <c r="A91">
        <f>+Input!A123</f>
        <v>0</v>
      </c>
      <c r="B91" s="29"/>
      <c r="C91" s="17"/>
      <c r="D91" s="19"/>
      <c r="F91" s="29"/>
      <c r="G91" s="17"/>
      <c r="H91" s="19"/>
      <c r="J91" s="29"/>
      <c r="K91" s="17"/>
      <c r="L91" s="19"/>
      <c r="N91" s="29"/>
      <c r="O91" s="17"/>
      <c r="P91" s="19"/>
      <c r="R91" s="29"/>
      <c r="S91" s="17"/>
      <c r="T91" s="19"/>
      <c r="V91" s="29"/>
      <c r="W91" s="17"/>
      <c r="X91" s="19"/>
      <c r="Z91" s="29"/>
      <c r="AA91" s="17"/>
      <c r="AB91" s="19"/>
      <c r="AD91" s="29"/>
      <c r="AE91" s="17"/>
      <c r="AF91" s="19"/>
      <c r="AH91" s="29"/>
      <c r="AI91" s="17"/>
      <c r="AJ91" s="19"/>
      <c r="AL91" s="29"/>
      <c r="AM91" s="17"/>
      <c r="AN91" s="19"/>
      <c r="AP91" s="29"/>
      <c r="AQ91" s="17"/>
      <c r="AR91" s="19"/>
      <c r="AS91" s="17"/>
      <c r="AT91" s="29"/>
      <c r="AU91" s="17"/>
      <c r="AV91" s="19"/>
    </row>
    <row r="92" spans="1:48" ht="14.5" customHeight="1" x14ac:dyDescent="0.55000000000000004">
      <c r="A92">
        <f>+Input!A124</f>
        <v>0</v>
      </c>
      <c r="B92" s="29"/>
      <c r="C92" s="17"/>
      <c r="D92" s="19"/>
      <c r="F92" s="29"/>
      <c r="G92" s="17"/>
      <c r="H92" s="19"/>
      <c r="J92" s="29"/>
      <c r="K92" s="17"/>
      <c r="L92" s="19"/>
      <c r="N92" s="29"/>
      <c r="O92" s="17"/>
      <c r="P92" s="19"/>
      <c r="R92" s="29"/>
      <c r="S92" s="17"/>
      <c r="T92" s="19"/>
      <c r="V92" s="29"/>
      <c r="W92" s="17"/>
      <c r="X92" s="19"/>
      <c r="Z92" s="29"/>
      <c r="AA92" s="17"/>
      <c r="AB92" s="19"/>
      <c r="AD92" s="29"/>
      <c r="AE92" s="17"/>
      <c r="AF92" s="19"/>
      <c r="AH92" s="29"/>
      <c r="AI92" s="17"/>
      <c r="AJ92" s="19"/>
      <c r="AL92" s="29"/>
      <c r="AM92" s="17"/>
      <c r="AN92" s="19"/>
      <c r="AP92" s="29"/>
      <c r="AQ92" s="17"/>
      <c r="AR92" s="19"/>
      <c r="AS92" s="17"/>
      <c r="AT92" s="29"/>
      <c r="AU92" s="17"/>
      <c r="AV92" s="19"/>
    </row>
    <row r="93" spans="1:48" ht="14.5" customHeight="1" x14ac:dyDescent="0.55000000000000004">
      <c r="A93">
        <f>+Input!A125</f>
        <v>0</v>
      </c>
      <c r="B93" s="29"/>
      <c r="C93" s="17"/>
      <c r="D93" s="19"/>
      <c r="F93" s="29"/>
      <c r="G93" s="17"/>
      <c r="H93" s="19"/>
      <c r="J93" s="29"/>
      <c r="K93" s="17"/>
      <c r="L93" s="19"/>
      <c r="N93" s="29"/>
      <c r="O93" s="17"/>
      <c r="P93" s="19"/>
      <c r="R93" s="29"/>
      <c r="S93" s="17"/>
      <c r="T93" s="19"/>
      <c r="V93" s="29"/>
      <c r="W93" s="17"/>
      <c r="X93" s="19"/>
      <c r="Z93" s="29"/>
      <c r="AA93" s="17"/>
      <c r="AB93" s="19"/>
      <c r="AD93" s="29"/>
      <c r="AE93" s="17"/>
      <c r="AF93" s="19"/>
      <c r="AH93" s="29"/>
      <c r="AI93" s="17"/>
      <c r="AJ93" s="19"/>
      <c r="AL93" s="29"/>
      <c r="AM93" s="17"/>
      <c r="AN93" s="19"/>
      <c r="AP93" s="29"/>
      <c r="AQ93" s="17"/>
      <c r="AR93" s="19"/>
      <c r="AS93" s="17"/>
      <c r="AT93" s="29"/>
      <c r="AU93" s="17"/>
      <c r="AV93" s="19"/>
    </row>
    <row r="94" spans="1:48" ht="14.5" customHeight="1" x14ac:dyDescent="0.55000000000000004">
      <c r="A94">
        <f>+Input!A126</f>
        <v>0</v>
      </c>
      <c r="B94" s="29"/>
      <c r="C94" s="17"/>
      <c r="D94" s="19"/>
      <c r="F94" s="29"/>
      <c r="G94" s="17"/>
      <c r="H94" s="19"/>
      <c r="J94" s="29"/>
      <c r="K94" s="17"/>
      <c r="L94" s="19"/>
      <c r="N94" s="29"/>
      <c r="O94" s="17"/>
      <c r="P94" s="19"/>
      <c r="R94" s="29"/>
      <c r="S94" s="17"/>
      <c r="T94" s="19"/>
      <c r="V94" s="29"/>
      <c r="W94" s="17"/>
      <c r="X94" s="19"/>
      <c r="Z94" s="29"/>
      <c r="AA94" s="17"/>
      <c r="AB94" s="19"/>
      <c r="AD94" s="29"/>
      <c r="AE94" s="17"/>
      <c r="AF94" s="19"/>
      <c r="AH94" s="29"/>
      <c r="AI94" s="17"/>
      <c r="AJ94" s="19"/>
      <c r="AL94" s="29"/>
      <c r="AM94" s="17"/>
      <c r="AN94" s="19"/>
      <c r="AP94" s="29"/>
      <c r="AQ94" s="17"/>
      <c r="AR94" s="19"/>
      <c r="AS94" s="17"/>
      <c r="AT94" s="29"/>
      <c r="AU94" s="17"/>
      <c r="AV94" s="19"/>
    </row>
    <row r="95" spans="1:48" x14ac:dyDescent="0.55000000000000004">
      <c r="A95" t="s">
        <v>39</v>
      </c>
      <c r="B95" s="16"/>
      <c r="C95" s="17"/>
      <c r="D95" s="26">
        <f>SUM(D89:D94)</f>
        <v>4.46</v>
      </c>
      <c r="F95" s="16"/>
      <c r="G95" s="17"/>
      <c r="H95" s="26">
        <f>SUM(H89:H94)</f>
        <v>4.46</v>
      </c>
      <c r="J95" s="16"/>
      <c r="K95" s="17"/>
      <c r="L95" s="26">
        <f>SUM(L89:L94)</f>
        <v>4.46</v>
      </c>
      <c r="N95" s="16"/>
      <c r="O95" s="17"/>
      <c r="P95" s="26">
        <f>SUM(P89:P94)</f>
        <v>4.46</v>
      </c>
      <c r="R95" s="16"/>
      <c r="S95" s="17"/>
      <c r="T95" s="26">
        <f>SUM(T89:T94)</f>
        <v>4.46</v>
      </c>
      <c r="V95" s="16"/>
      <c r="W95" s="17"/>
      <c r="X95" s="26">
        <f>SUM(X89:X94)</f>
        <v>4.46</v>
      </c>
      <c r="Z95" s="16"/>
      <c r="AA95" s="17"/>
      <c r="AB95" s="26">
        <f>SUM(AB89:AB94)</f>
        <v>4.46</v>
      </c>
      <c r="AD95" s="16"/>
      <c r="AE95" s="17"/>
      <c r="AF95" s="26">
        <f>SUM(AF89:AF94)</f>
        <v>4.46</v>
      </c>
      <c r="AH95" s="16"/>
      <c r="AI95" s="17"/>
      <c r="AJ95" s="26">
        <f>SUM(AJ89:AJ94)</f>
        <v>4.46</v>
      </c>
      <c r="AL95" s="16"/>
      <c r="AM95" s="17"/>
      <c r="AN95" s="26">
        <f>SUM(AN89:AN94)</f>
        <v>4.46</v>
      </c>
      <c r="AP95" s="16"/>
      <c r="AQ95" s="17"/>
      <c r="AR95" s="26">
        <f>SUM(AR89:AR94)</f>
        <v>4.46</v>
      </c>
      <c r="AS95" s="17"/>
      <c r="AT95" s="16"/>
      <c r="AU95" s="17"/>
      <c r="AV95" s="26">
        <f>SUM(AV89:AV94)</f>
        <v>4.46</v>
      </c>
    </row>
    <row r="96" spans="1:48" x14ac:dyDescent="0.55000000000000004">
      <c r="B96" s="16"/>
      <c r="C96" s="17"/>
      <c r="D96" s="19"/>
      <c r="F96" s="16"/>
      <c r="G96" s="17"/>
      <c r="H96" s="19"/>
      <c r="J96" s="16"/>
      <c r="K96" s="17"/>
      <c r="L96" s="19"/>
      <c r="N96" s="16"/>
      <c r="O96" s="17"/>
      <c r="P96" s="19"/>
      <c r="R96" s="16"/>
      <c r="S96" s="17"/>
      <c r="T96" s="19"/>
      <c r="V96" s="16"/>
      <c r="W96" s="17"/>
      <c r="X96" s="19"/>
      <c r="Z96" s="16"/>
      <c r="AA96" s="17"/>
      <c r="AB96" s="19"/>
      <c r="AD96" s="16"/>
      <c r="AE96" s="17"/>
      <c r="AF96" s="19"/>
      <c r="AH96" s="16"/>
      <c r="AI96" s="17"/>
      <c r="AJ96" s="19"/>
      <c r="AL96" s="16"/>
      <c r="AM96" s="17"/>
      <c r="AN96" s="19"/>
      <c r="AP96" s="16"/>
      <c r="AQ96" s="17"/>
      <c r="AR96" s="19"/>
      <c r="AS96" s="17"/>
      <c r="AT96" s="16"/>
      <c r="AU96" s="17"/>
      <c r="AV96" s="19"/>
    </row>
    <row r="97" spans="1:48" ht="14.7" thickBot="1" x14ac:dyDescent="0.6">
      <c r="A97" t="s">
        <v>40</v>
      </c>
      <c r="B97" s="27"/>
      <c r="C97" s="28"/>
      <c r="D97" s="32">
        <f>D70+D86+D95</f>
        <v>72.984772356597574</v>
      </c>
      <c r="F97" s="27"/>
      <c r="G97" s="28"/>
      <c r="H97" s="32">
        <f>H70+H86+H95</f>
        <v>72.984772356597574</v>
      </c>
      <c r="J97" s="27"/>
      <c r="K97" s="28"/>
      <c r="L97" s="32">
        <f>L70+L86+L95</f>
        <v>72.984772356597574</v>
      </c>
      <c r="N97" s="27"/>
      <c r="O97" s="28"/>
      <c r="P97" s="32">
        <f>P70+P86+P95</f>
        <v>72.984772356597574</v>
      </c>
      <c r="R97" s="27"/>
      <c r="S97" s="28"/>
      <c r="T97" s="32">
        <f>T70+T86+T95</f>
        <v>72.984772356597574</v>
      </c>
      <c r="V97" s="27"/>
      <c r="W97" s="28"/>
      <c r="X97" s="32">
        <f>X70+X86+X95</f>
        <v>72.984772356597574</v>
      </c>
      <c r="Z97" s="27"/>
      <c r="AA97" s="28"/>
      <c r="AB97" s="32">
        <f>AB70+AB86+AB95</f>
        <v>72.984772356597574</v>
      </c>
      <c r="AD97" s="27"/>
      <c r="AE97" s="28"/>
      <c r="AF97" s="32">
        <f>AF70+AF86+AF95</f>
        <v>72.984772356597574</v>
      </c>
      <c r="AH97" s="27"/>
      <c r="AI97" s="28"/>
      <c r="AJ97" s="32">
        <f>AJ70+AJ86+AJ95</f>
        <v>72.984772356597574</v>
      </c>
      <c r="AL97" s="27"/>
      <c r="AM97" s="28"/>
      <c r="AN97" s="32">
        <f>AN70+AN86+AN95</f>
        <v>72.984772356597574</v>
      </c>
      <c r="AP97" s="27"/>
      <c r="AQ97" s="28"/>
      <c r="AR97" s="32">
        <f>AR70+AR86+AR95</f>
        <v>72.984772356597574</v>
      </c>
      <c r="AS97" s="176"/>
      <c r="AT97" s="27"/>
      <c r="AU97" s="28"/>
      <c r="AV97" s="32">
        <f>AV70+AV86+AV95</f>
        <v>72.984772356597574</v>
      </c>
    </row>
    <row r="99" spans="1:48" x14ac:dyDescent="0.55000000000000004">
      <c r="A99" t="s">
        <v>81</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 id="{2396896E-819A-419F-9395-8D89C43691B5}">
            <xm:f>OR(Input!$B62="Fixed",Input!$B62="Volumetric")</xm:f>
            <x14:dxf>
              <numFmt numFmtId="171" formatCode="&quot;$&quot;#,##0.000"/>
            </x14:dxf>
          </x14:cfRule>
          <x14:cfRule type="expression" priority="30" id="{CFD6C38C-81C4-4FFE-8E9E-E19C9198080E}">
            <xm:f>Input!$B62="Percentage"</xm:f>
            <x14:dxf>
              <numFmt numFmtId="166" formatCode="0.000%"/>
            </x14:dxf>
          </x14:cfRule>
          <xm:sqref>F73:F85 J73:J85 N73:N85 R73:R85 V73:V85 Z73:Z85 AD73:AD85 AH73:AH85 AL73:AL85 AP73:AP85 AT73:AT85 B73:B85</xm:sqref>
        </x14:conditionalFormatting>
        <x14:conditionalFormatting xmlns:xm="http://schemas.microsoft.com/office/excel/2006/main">
          <x14:cfRule type="expression" priority="3" id="{4B51D3D2-4E69-4D77-B3B4-E4914492DD4F}">
            <xm:f>OR(Input!$B46="Fixed",Input!$B46="Volumetric")</xm:f>
            <x14:dxf>
              <numFmt numFmtId="171" formatCode="&quot;$&quot;#,##0.000"/>
            </x14:dxf>
          </x14:cfRule>
          <x14:cfRule type="expression" priority="4" id="{48840D8F-89DC-47B4-9FC0-EE72A69FDEF7}">
            <xm:f>Input!$B46="Percentage"</xm:f>
            <x14:dxf>
              <numFmt numFmtId="166" formatCode="0.000%"/>
            </x14:dxf>
          </x14:cfRule>
          <xm:sqref>B25:B37 F25:F37 J25:J37 N25:N37 R25:R37 V25:V37 Z25:Z37 AD25:AD37 AH25:AH37 AL25:AL37 AP25:AP37 AT25:AT37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Input!$A$86:$A$92</xm:f>
          </x14:formula1>
          <xm:sqref>B60 B11:B12</xm:sqref>
        </x14:dataValidation>
        <x14:dataValidation type="list" allowBlank="1" showInputMessage="1" showErrorMessage="1">
          <x14:formula1>
            <xm:f>Input!$A$28:$A$42</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Instructions</vt:lpstr>
      <vt:lpstr>Definitions</vt:lpstr>
      <vt:lpstr>Updates Tab</vt:lpstr>
      <vt:lpstr>Super Summary - Selected Data</vt:lpstr>
      <vt:lpstr>Summary</vt:lpstr>
      <vt:lpstr>Rev Req't_yrs 1-3</vt:lpstr>
      <vt:lpstr>Input</vt:lpstr>
      <vt:lpstr>Calculators --&gt;</vt:lpstr>
      <vt:lpstr>Calculator Data Summary</vt:lpstr>
      <vt:lpstr>Residential Bill_Current_avg</vt:lpstr>
      <vt:lpstr>Residential Bills_Yr 1_avg</vt:lpstr>
      <vt:lpstr>Residential Bills_Yr 2_avg</vt:lpstr>
      <vt:lpstr>Residential Bills_Yr 3_avg</vt:lpstr>
      <vt:lpstr>Residential Bill_Current6 units</vt:lpstr>
      <vt:lpstr>Residential Bills_Yr 1_6 Units</vt:lpstr>
      <vt:lpstr>Residential Bills_Yr 2_6 Units</vt:lpstr>
      <vt:lpstr>Residential Bills_Yr 3_6 Units</vt:lpstr>
      <vt:lpstr>CAP</vt:lpstr>
      <vt:lpstr>Non_CAP</vt:lpstr>
      <vt:lpstr>Instructions!Print_Area</vt:lpstr>
    </vt:vector>
  </TitlesOfParts>
  <Company>California Water Service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Melody</dc:creator>
  <cp:lastModifiedBy>Sugan, Vyju</cp:lastModifiedBy>
  <cp:lastPrinted>2021-12-15T20:24:11Z</cp:lastPrinted>
  <dcterms:created xsi:type="dcterms:W3CDTF">2019-02-06T23:06:40Z</dcterms:created>
  <dcterms:modified xsi:type="dcterms:W3CDTF">2023-01-19T22:20:17Z</dcterms:modified>
</cp:coreProperties>
</file>