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rtadc\Documents\"/>
    </mc:Choice>
  </mc:AlternateContent>
  <xr:revisionPtr revIDLastSave="0" documentId="13_ncr:1_{A368AB2B-C000-405D-9350-D0E443A3C912}" xr6:coauthVersionLast="46" xr6:coauthVersionMax="46" xr10:uidLastSave="{00000000-0000-0000-0000-000000000000}"/>
  <bookViews>
    <workbookView xWindow="28680" yWindow="-120" windowWidth="29040" windowHeight="16440" activeTab="1" xr2:uid="{6B4E3935-238C-4E6E-ACB6-C0AA5EE72DD1}"/>
  </bookViews>
  <sheets>
    <sheet name="Authorized Rev Req" sheetId="1" r:id="rId1"/>
    <sheet name="Incremental Rev Req" sheetId="3" r:id="rId2"/>
  </sheets>
  <externalReferences>
    <externalReference r:id="rId3"/>
    <externalReference r:id="rId4"/>
    <externalReference r:id="rId5"/>
  </externalReferences>
  <definedNames>
    <definedName name="_xlnm.Print_Area" localSheetId="1">'Incremental Rev Req'!$A$1:$M$122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9" i="3" l="1"/>
  <c r="O115" i="3"/>
  <c r="N115" i="3"/>
  <c r="M115" i="3"/>
  <c r="K115" i="3"/>
  <c r="G115" i="3"/>
  <c r="L115" i="3" s="1"/>
  <c r="D115" i="3"/>
  <c r="O114" i="3"/>
  <c r="N114" i="3"/>
  <c r="M114" i="3"/>
  <c r="L114" i="3"/>
  <c r="K114" i="3"/>
  <c r="O113" i="3"/>
  <c r="L113" i="3"/>
  <c r="K113" i="3"/>
  <c r="O112" i="3"/>
  <c r="N112" i="3"/>
  <c r="M112" i="3"/>
  <c r="L112" i="3"/>
  <c r="K112" i="3"/>
  <c r="D112" i="3"/>
  <c r="O111" i="3"/>
  <c r="N111" i="3"/>
  <c r="M111" i="3"/>
  <c r="O110" i="3"/>
  <c r="H110" i="3"/>
  <c r="M110" i="3" s="1"/>
  <c r="D110" i="3"/>
  <c r="O109" i="3"/>
  <c r="L109" i="3"/>
  <c r="K109" i="3"/>
  <c r="H109" i="3"/>
  <c r="M109" i="3" s="1"/>
  <c r="O108" i="3"/>
  <c r="L108" i="3"/>
  <c r="O107" i="3"/>
  <c r="L107" i="3"/>
  <c r="O106" i="3"/>
  <c r="L106" i="3"/>
  <c r="O105" i="3"/>
  <c r="L105" i="3"/>
  <c r="O104" i="3"/>
  <c r="M104" i="3"/>
  <c r="I104" i="3"/>
  <c r="D104" i="3"/>
  <c r="G104" i="3" s="1"/>
  <c r="O103" i="3"/>
  <c r="M103" i="3"/>
  <c r="I103" i="3"/>
  <c r="D103" i="3"/>
  <c r="G103" i="3" s="1"/>
  <c r="O102" i="3"/>
  <c r="D102" i="3"/>
  <c r="G102" i="3" s="1"/>
  <c r="O101" i="3"/>
  <c r="D101" i="3"/>
  <c r="G101" i="3" s="1"/>
  <c r="O100" i="3"/>
  <c r="D100" i="3"/>
  <c r="G100" i="3" s="1"/>
  <c r="O99" i="3"/>
  <c r="G99" i="3"/>
  <c r="H99" i="3" s="1"/>
  <c r="D99" i="3"/>
  <c r="O98" i="3"/>
  <c r="M98" i="3"/>
  <c r="I98" i="3"/>
  <c r="N98" i="3" s="1"/>
  <c r="D98" i="3"/>
  <c r="G98" i="3" s="1"/>
  <c r="O97" i="3"/>
  <c r="G97" i="3"/>
  <c r="D97" i="3"/>
  <c r="O96" i="3"/>
  <c r="D96" i="3"/>
  <c r="G96" i="3" s="1"/>
  <c r="O95" i="3"/>
  <c r="N95" i="3"/>
  <c r="L95" i="3"/>
  <c r="K95" i="3"/>
  <c r="H95" i="3"/>
  <c r="M95" i="3" s="1"/>
  <c r="O94" i="3"/>
  <c r="M94" i="3"/>
  <c r="L94" i="3"/>
  <c r="K94" i="3"/>
  <c r="D94" i="3"/>
  <c r="O93" i="3"/>
  <c r="M93" i="3"/>
  <c r="L93" i="3"/>
  <c r="K93" i="3"/>
  <c r="D93" i="3"/>
  <c r="O92" i="3"/>
  <c r="N92" i="3"/>
  <c r="M92" i="3"/>
  <c r="G92" i="3"/>
  <c r="L92" i="3" s="1"/>
  <c r="O91" i="3"/>
  <c r="N91" i="3"/>
  <c r="L91" i="3"/>
  <c r="K91" i="3"/>
  <c r="H91" i="3"/>
  <c r="M91" i="3" s="1"/>
  <c r="O90" i="3"/>
  <c r="N90" i="3"/>
  <c r="M90" i="3"/>
  <c r="L90" i="3"/>
  <c r="K90" i="3"/>
  <c r="O89" i="3"/>
  <c r="N89" i="3"/>
  <c r="M89" i="3"/>
  <c r="L89" i="3"/>
  <c r="K89" i="3"/>
  <c r="D89" i="3"/>
  <c r="O88" i="3"/>
  <c r="N88" i="3"/>
  <c r="M88" i="3"/>
  <c r="L88" i="3"/>
  <c r="K88" i="3"/>
  <c r="D88" i="3"/>
  <c r="O87" i="3"/>
  <c r="N87" i="3"/>
  <c r="M87" i="3"/>
  <c r="L87" i="3"/>
  <c r="K87" i="3"/>
  <c r="D87" i="3"/>
  <c r="D80" i="3"/>
  <c r="F80" i="3" s="1"/>
  <c r="D78" i="3"/>
  <c r="F78" i="3" s="1"/>
  <c r="G78" i="3" s="1"/>
  <c r="H78" i="3" s="1"/>
  <c r="I78" i="3" s="1"/>
  <c r="D77" i="3"/>
  <c r="F77" i="3" s="1"/>
  <c r="D76" i="3"/>
  <c r="F76" i="3" s="1"/>
  <c r="G76" i="3" s="1"/>
  <c r="D75" i="3"/>
  <c r="D119" i="3" s="1"/>
  <c r="F119" i="3" s="1"/>
  <c r="D74" i="3"/>
  <c r="F74" i="3" s="1"/>
  <c r="I73" i="3"/>
  <c r="D73" i="3"/>
  <c r="F73" i="3" s="1"/>
  <c r="G70" i="3"/>
  <c r="H70" i="3" s="1"/>
  <c r="F70" i="3"/>
  <c r="D70" i="3"/>
  <c r="H69" i="3"/>
  <c r="I69" i="3" s="1"/>
  <c r="D69" i="3"/>
  <c r="F69" i="3" s="1"/>
  <c r="D68" i="3"/>
  <c r="F68" i="3" s="1"/>
  <c r="G68" i="3" s="1"/>
  <c r="H68" i="3" s="1"/>
  <c r="I68" i="3" s="1"/>
  <c r="F67" i="3"/>
  <c r="G67" i="3" s="1"/>
  <c r="H67" i="3" s="1"/>
  <c r="D67" i="3"/>
  <c r="F66" i="3"/>
  <c r="D66" i="3"/>
  <c r="I65" i="3"/>
  <c r="H65" i="3"/>
  <c r="G65" i="3"/>
  <c r="D65" i="3"/>
  <c r="F65" i="3" s="1"/>
  <c r="D64" i="3"/>
  <c r="F64" i="3" s="1"/>
  <c r="D63" i="3"/>
  <c r="F63" i="3" s="1"/>
  <c r="D62" i="3"/>
  <c r="F62" i="3" s="1"/>
  <c r="F61" i="3"/>
  <c r="G58" i="3"/>
  <c r="D58" i="3"/>
  <c r="F58" i="3" s="1"/>
  <c r="H57" i="3"/>
  <c r="I57" i="3" s="1"/>
  <c r="N113" i="3" s="1"/>
  <c r="D57" i="3"/>
  <c r="F57" i="3" s="1"/>
  <c r="H56" i="3"/>
  <c r="I56" i="3" s="1"/>
  <c r="D56" i="3"/>
  <c r="F56" i="3" s="1"/>
  <c r="D55" i="3"/>
  <c r="F55" i="3" s="1"/>
  <c r="F51" i="3"/>
  <c r="G51" i="3" s="1"/>
  <c r="H51" i="3" s="1"/>
  <c r="I51" i="3" s="1"/>
  <c r="D51" i="3"/>
  <c r="D50" i="3"/>
  <c r="F50" i="3" s="1"/>
  <c r="F49" i="3"/>
  <c r="G49" i="3" s="1"/>
  <c r="H49" i="3" s="1"/>
  <c r="I49" i="3" s="1"/>
  <c r="D49" i="3"/>
  <c r="D48" i="3"/>
  <c r="F48" i="3" s="1"/>
  <c r="D47" i="3"/>
  <c r="F47" i="3" s="1"/>
  <c r="G47" i="3" s="1"/>
  <c r="F45" i="3"/>
  <c r="G45" i="3" s="1"/>
  <c r="D45" i="3"/>
  <c r="D44" i="3"/>
  <c r="I44" i="3" s="1"/>
  <c r="D43" i="3"/>
  <c r="F43" i="3" s="1"/>
  <c r="G43" i="3" s="1"/>
  <c r="H43" i="3" s="1"/>
  <c r="D42" i="3"/>
  <c r="F42" i="3" s="1"/>
  <c r="I41" i="3"/>
  <c r="D41" i="3"/>
  <c r="F41" i="3" s="1"/>
  <c r="G41" i="3" s="1"/>
  <c r="I40" i="3"/>
  <c r="D40" i="3"/>
  <c r="F40" i="3" s="1"/>
  <c r="G40" i="3" s="1"/>
  <c r="I39" i="3"/>
  <c r="D39" i="3"/>
  <c r="F39" i="3" s="1"/>
  <c r="G39" i="3" s="1"/>
  <c r="G38" i="3"/>
  <c r="I37" i="3"/>
  <c r="D37" i="3"/>
  <c r="F37" i="3" s="1"/>
  <c r="R16" i="3" s="1"/>
  <c r="R91" i="3" s="1"/>
  <c r="I36" i="3"/>
  <c r="F36" i="3"/>
  <c r="D36" i="3"/>
  <c r="I35" i="3"/>
  <c r="D35" i="3"/>
  <c r="F35" i="3" s="1"/>
  <c r="D34" i="3"/>
  <c r="F34" i="3" s="1"/>
  <c r="I33" i="3"/>
  <c r="D33" i="3"/>
  <c r="F33" i="3" s="1"/>
  <c r="I32" i="3"/>
  <c r="D32" i="3"/>
  <c r="F32" i="3" s="1"/>
  <c r="F31" i="3"/>
  <c r="G31" i="3" s="1"/>
  <c r="H31" i="3" s="1"/>
  <c r="I31" i="3" s="1"/>
  <c r="D31" i="3"/>
  <c r="I30" i="3"/>
  <c r="D30" i="3"/>
  <c r="F30" i="3" s="1"/>
  <c r="G30" i="3" s="1"/>
  <c r="I29" i="3"/>
  <c r="N103" i="3" s="1"/>
  <c r="F29" i="3"/>
  <c r="G29" i="3" s="1"/>
  <c r="D29" i="3"/>
  <c r="D28" i="3"/>
  <c r="F28" i="3" s="1"/>
  <c r="F27" i="3"/>
  <c r="G27" i="3" s="1"/>
  <c r="H27" i="3" s="1"/>
  <c r="I27" i="3" s="1"/>
  <c r="D27" i="3"/>
  <c r="D26" i="3"/>
  <c r="F26" i="3" s="1"/>
  <c r="D25" i="3"/>
  <c r="F25" i="3" s="1"/>
  <c r="I24" i="3"/>
  <c r="D24" i="3"/>
  <c r="F24" i="3" s="1"/>
  <c r="G24" i="3" s="1"/>
  <c r="F23" i="3"/>
  <c r="G23" i="3" s="1"/>
  <c r="H23" i="3" s="1"/>
  <c r="I23" i="3" s="1"/>
  <c r="D23" i="3"/>
  <c r="D22" i="3"/>
  <c r="F22" i="3" s="1"/>
  <c r="G22" i="3" s="1"/>
  <c r="H22" i="3" s="1"/>
  <c r="I22" i="3" s="1"/>
  <c r="I21" i="3"/>
  <c r="D21" i="3"/>
  <c r="F21" i="3" s="1"/>
  <c r="I20" i="3"/>
  <c r="D20" i="3"/>
  <c r="F20" i="3" s="1"/>
  <c r="G19" i="3"/>
  <c r="F19" i="3"/>
  <c r="D19" i="3"/>
  <c r="G18" i="3"/>
  <c r="F18" i="3"/>
  <c r="I17" i="3"/>
  <c r="D17" i="3"/>
  <c r="F17" i="3" s="1"/>
  <c r="U16" i="3"/>
  <c r="U91" i="3" s="1"/>
  <c r="T16" i="3"/>
  <c r="T91" i="3" s="1"/>
  <c r="S16" i="3"/>
  <c r="S91" i="3" s="1"/>
  <c r="D16" i="3"/>
  <c r="F16" i="3" s="1"/>
  <c r="G16" i="3" s="1"/>
  <c r="H16" i="3" s="1"/>
  <c r="I16" i="3" s="1"/>
  <c r="D15" i="3"/>
  <c r="F15" i="3" s="1"/>
  <c r="G15" i="3" s="1"/>
  <c r="D14" i="3"/>
  <c r="F14" i="3" s="1"/>
  <c r="G14" i="3" s="1"/>
  <c r="D13" i="3"/>
  <c r="F13" i="3" s="1"/>
  <c r="G13" i="3" s="1"/>
  <c r="D12" i="3"/>
  <c r="F12" i="3" s="1"/>
  <c r="D11" i="3"/>
  <c r="F11" i="3" s="1"/>
  <c r="D10" i="3"/>
  <c r="B6" i="3"/>
  <c r="B5" i="3"/>
  <c r="D83" i="1"/>
  <c r="E82" i="1"/>
  <c r="E81" i="1"/>
  <c r="F81" i="1" s="1"/>
  <c r="G81" i="1" s="1"/>
  <c r="E80" i="1"/>
  <c r="F80" i="1" s="1"/>
  <c r="G74" i="1"/>
  <c r="D74" i="1"/>
  <c r="C74" i="1"/>
  <c r="G54" i="1"/>
  <c r="D120" i="3" l="1"/>
  <c r="L104" i="3"/>
  <c r="M113" i="3"/>
  <c r="K120" i="3"/>
  <c r="N104" i="3"/>
  <c r="I110" i="3"/>
  <c r="N110" i="3" s="1"/>
  <c r="R13" i="3"/>
  <c r="R88" i="3" s="1"/>
  <c r="G25" i="3"/>
  <c r="F120" i="3"/>
  <c r="G119" i="3"/>
  <c r="H119" i="3" s="1"/>
  <c r="R14" i="3"/>
  <c r="R89" i="3" s="1"/>
  <c r="G26" i="3"/>
  <c r="G50" i="3"/>
  <c r="R20" i="3"/>
  <c r="R95" i="3" s="1"/>
  <c r="H102" i="3"/>
  <c r="H76" i="3"/>
  <c r="S19" i="3"/>
  <c r="S94" i="3" s="1"/>
  <c r="L97" i="3"/>
  <c r="D79" i="3"/>
  <c r="G77" i="3"/>
  <c r="H77" i="3" s="1"/>
  <c r="I77" i="3" s="1"/>
  <c r="R19" i="3"/>
  <c r="R94" i="3" s="1"/>
  <c r="L103" i="3"/>
  <c r="L101" i="3"/>
  <c r="H101" i="3"/>
  <c r="R15" i="3"/>
  <c r="R90" i="3" s="1"/>
  <c r="G28" i="3"/>
  <c r="L102" i="3" s="1"/>
  <c r="L110" i="3"/>
  <c r="G55" i="3"/>
  <c r="H55" i="3" s="1"/>
  <c r="I55" i="3" s="1"/>
  <c r="L98" i="3"/>
  <c r="H74" i="3"/>
  <c r="G74" i="3"/>
  <c r="S17" i="3" s="1"/>
  <c r="S92" i="3" s="1"/>
  <c r="L96" i="3"/>
  <c r="H96" i="3"/>
  <c r="R11" i="3"/>
  <c r="R86" i="3" s="1"/>
  <c r="G11" i="3"/>
  <c r="G12" i="3"/>
  <c r="R17" i="3"/>
  <c r="R92" i="3" s="1"/>
  <c r="L100" i="3"/>
  <c r="H100" i="3"/>
  <c r="G80" i="3"/>
  <c r="R21" i="3"/>
  <c r="R96" i="3" s="1"/>
  <c r="F44" i="3"/>
  <c r="R12" i="3" s="1"/>
  <c r="R87" i="3" s="1"/>
  <c r="F75" i="3"/>
  <c r="H97" i="3"/>
  <c r="I99" i="3"/>
  <c r="F10" i="3"/>
  <c r="G44" i="3"/>
  <c r="H44" i="3"/>
  <c r="D54" i="3"/>
  <c r="F54" i="3" s="1"/>
  <c r="G120" i="3"/>
  <c r="E83" i="1"/>
  <c r="F83" i="1"/>
  <c r="G80" i="1"/>
  <c r="F74" i="1"/>
  <c r="C54" i="1"/>
  <c r="C85" i="1" s="1"/>
  <c r="D54" i="1"/>
  <c r="D85" i="1" s="1"/>
  <c r="E74" i="1"/>
  <c r="E54" i="1"/>
  <c r="F54" i="1"/>
  <c r="T19" i="3" l="1"/>
  <c r="T94" i="3" s="1"/>
  <c r="I76" i="3"/>
  <c r="U19" i="3" s="1"/>
  <c r="U94" i="3" s="1"/>
  <c r="S14" i="3"/>
  <c r="S89" i="3" s="1"/>
  <c r="H26" i="3"/>
  <c r="H12" i="3"/>
  <c r="I102" i="3"/>
  <c r="M97" i="3"/>
  <c r="I97" i="3"/>
  <c r="N97" i="3" s="1"/>
  <c r="H80" i="3"/>
  <c r="S21" i="3"/>
  <c r="S96" i="3" s="1"/>
  <c r="I96" i="3"/>
  <c r="M96" i="3"/>
  <c r="R18" i="3"/>
  <c r="R93" i="3" s="1"/>
  <c r="G75" i="3"/>
  <c r="M100" i="3"/>
  <c r="I100" i="3"/>
  <c r="M101" i="3"/>
  <c r="I101" i="3"/>
  <c r="N101" i="3" s="1"/>
  <c r="H50" i="3"/>
  <c r="S20" i="3"/>
  <c r="S95" i="3" s="1"/>
  <c r="I54" i="3"/>
  <c r="G54" i="3"/>
  <c r="H54" i="3" s="1"/>
  <c r="L111" i="3"/>
  <c r="I74" i="3"/>
  <c r="U17" i="3" s="1"/>
  <c r="U92" i="3" s="1"/>
  <c r="T17" i="3"/>
  <c r="T92" i="3" s="1"/>
  <c r="R10" i="3"/>
  <c r="F79" i="3"/>
  <c r="F81" i="3" s="1"/>
  <c r="G10" i="3"/>
  <c r="H120" i="3"/>
  <c r="S11" i="3"/>
  <c r="S86" i="3" s="1"/>
  <c r="H11" i="3"/>
  <c r="S15" i="3"/>
  <c r="S90" i="3" s="1"/>
  <c r="H28" i="3"/>
  <c r="H25" i="3"/>
  <c r="S13" i="3"/>
  <c r="L99" i="3"/>
  <c r="D81" i="3"/>
  <c r="D82" i="3"/>
  <c r="G83" i="1"/>
  <c r="G85" i="1" s="1"/>
  <c r="E85" i="1"/>
  <c r="F85" i="1"/>
  <c r="L120" i="3" l="1"/>
  <c r="I11" i="3"/>
  <c r="U11" i="3" s="1"/>
  <c r="U86" i="3" s="1"/>
  <c r="T11" i="3"/>
  <c r="T86" i="3" s="1"/>
  <c r="T14" i="3"/>
  <c r="T89" i="3" s="1"/>
  <c r="I26" i="3"/>
  <c r="U14" i="3" s="1"/>
  <c r="I25" i="3"/>
  <c r="T13" i="3"/>
  <c r="T88" i="3" s="1"/>
  <c r="M99" i="3"/>
  <c r="S18" i="3"/>
  <c r="S93" i="3" s="1"/>
  <c r="H75" i="3"/>
  <c r="N102" i="3"/>
  <c r="R85" i="3"/>
  <c r="R97" i="3" s="1"/>
  <c r="R22" i="3"/>
  <c r="I12" i="3"/>
  <c r="U12" i="3" s="1"/>
  <c r="U87" i="3" s="1"/>
  <c r="T12" i="3"/>
  <c r="T87" i="3" s="1"/>
  <c r="T15" i="3"/>
  <c r="I28" i="3"/>
  <c r="U15" i="3" s="1"/>
  <c r="M102" i="3"/>
  <c r="M120" i="3" s="1"/>
  <c r="I80" i="3"/>
  <c r="U21" i="3" s="1"/>
  <c r="U96" i="3" s="1"/>
  <c r="T21" i="3"/>
  <c r="T96" i="3" s="1"/>
  <c r="S10" i="3"/>
  <c r="G79" i="3"/>
  <c r="G81" i="3" s="1"/>
  <c r="K121" i="3" s="1"/>
  <c r="K122" i="3" s="1"/>
  <c r="H10" i="3"/>
  <c r="S88" i="3"/>
  <c r="F82" i="3"/>
  <c r="I50" i="3"/>
  <c r="U20" i="3" s="1"/>
  <c r="U95" i="3" s="1"/>
  <c r="T20" i="3"/>
  <c r="T95" i="3" s="1"/>
  <c r="N96" i="3"/>
  <c r="I120" i="3"/>
  <c r="S12" i="3"/>
  <c r="S87" i="3" s="1"/>
  <c r="U90" i="3" l="1"/>
  <c r="U13" i="3"/>
  <c r="U88" i="3" s="1"/>
  <c r="N99" i="3"/>
  <c r="R24" i="3"/>
  <c r="R23" i="3"/>
  <c r="R98" i="3"/>
  <c r="T18" i="3"/>
  <c r="T93" i="3" s="1"/>
  <c r="I75" i="3"/>
  <c r="U18" i="3" s="1"/>
  <c r="U93" i="3" s="1"/>
  <c r="N100" i="3"/>
  <c r="N120" i="3" s="1"/>
  <c r="N121" i="3" s="1"/>
  <c r="N122" i="3" s="1"/>
  <c r="S85" i="3"/>
  <c r="S97" i="3" s="1"/>
  <c r="S98" i="3" s="1"/>
  <c r="S22" i="3"/>
  <c r="S23" i="3" s="1"/>
  <c r="H79" i="3"/>
  <c r="H81" i="3" s="1"/>
  <c r="L121" i="3" s="1"/>
  <c r="L122" i="3" s="1"/>
  <c r="I10" i="3"/>
  <c r="T10" i="3"/>
  <c r="T90" i="3"/>
  <c r="U89" i="3" l="1"/>
  <c r="T85" i="3"/>
  <c r="T97" i="3" s="1"/>
  <c r="T98" i="3" s="1"/>
  <c r="T22" i="3"/>
  <c r="T23" i="3" s="1"/>
  <c r="I79" i="3"/>
  <c r="I81" i="3" s="1"/>
  <c r="M121" i="3" s="1"/>
  <c r="M122" i="3" s="1"/>
  <c r="U10" i="3"/>
  <c r="U22" i="3" l="1"/>
  <c r="U23" i="3" s="1"/>
  <c r="U85" i="3"/>
  <c r="U97" i="3" s="1"/>
  <c r="U98" i="3" s="1"/>
</calcChain>
</file>

<file path=xl/sharedStrings.xml><?xml version="1.0" encoding="utf-8"?>
<sst xmlns="http://schemas.openxmlformats.org/spreadsheetml/2006/main" count="775" uniqueCount="248">
  <si>
    <t>Annual Period 2022</t>
  </si>
  <si>
    <t>Reporting Date: Quarter Ended September 30</t>
  </si>
  <si>
    <t>October 1, 2021</t>
  </si>
  <si>
    <t>January 1, 2022</t>
  </si>
  <si>
    <t>March 1, 2022</t>
  </si>
  <si>
    <t>June 1, 2022</t>
  </si>
  <si>
    <t>October 1, 2022</t>
  </si>
  <si>
    <t>4590-E</t>
  </si>
  <si>
    <t>4651-E-A</t>
  </si>
  <si>
    <t>4719-E</t>
  </si>
  <si>
    <t>4796-E</t>
  </si>
  <si>
    <t>4864-E</t>
  </si>
  <si>
    <t>Filing Description</t>
  </si>
  <si>
    <t>Authority for Revenue Requirement</t>
  </si>
  <si>
    <t>Authorized Revenue Requirement      ($000)</t>
  </si>
  <si>
    <t>2022 Authority for Revenue Requirement</t>
  </si>
  <si>
    <t>Revenue Recovery Mechanism</t>
  </si>
  <si>
    <t xml:space="preserve">Balancing Account </t>
  </si>
  <si>
    <t>Safety Affordability Reliability Proceedings</t>
  </si>
  <si>
    <t>General Rate Case (GRC)</t>
  </si>
  <si>
    <t>D.19-05-020</t>
  </si>
  <si>
    <t>D.21-08-036; Advice 4639-E</t>
  </si>
  <si>
    <t>Generation</t>
  </si>
  <si>
    <t>N</t>
  </si>
  <si>
    <t>New System Gen</t>
  </si>
  <si>
    <t>Distribution</t>
  </si>
  <si>
    <t>2021 GRCRRMA (27-month amortization)</t>
  </si>
  <si>
    <t>D.21-08-036</t>
  </si>
  <si>
    <t>Y</t>
  </si>
  <si>
    <t>Non-utility Affiliate Credits</t>
  </si>
  <si>
    <t>Pole Loading &amp; Deteriorated Poles Balancing Account</t>
  </si>
  <si>
    <t>Tax Refund and Tax Accounting Memorandum Account (TAMA)</t>
  </si>
  <si>
    <t>D.19-05-020; Advice 4453-E</t>
  </si>
  <si>
    <t>Pension/PBOP/Medical Balancing Accounts</t>
  </si>
  <si>
    <t>ERRA Forecast</t>
  </si>
  <si>
    <t>D.22-01-003, Advice 4716-E</t>
  </si>
  <si>
    <t>ERRA Forecast (BA)</t>
  </si>
  <si>
    <t>GHG Revenue</t>
  </si>
  <si>
    <t>Nuclear</t>
  </si>
  <si>
    <t>Public Purpose</t>
  </si>
  <si>
    <t>TMNBA/BMNBC BA</t>
  </si>
  <si>
    <t>ERRA/PABA Balancing Account</t>
  </si>
  <si>
    <t>DAC-GT/CSGT Clean Energy Programs</t>
  </si>
  <si>
    <t>BRRBA</t>
  </si>
  <si>
    <t>2019 ERRA Review</t>
  </si>
  <si>
    <t>D.21-07-015 / Advice 4567-E</t>
  </si>
  <si>
    <t>D.15-10-037</t>
  </si>
  <si>
    <t>NDAM Balancing Account</t>
  </si>
  <si>
    <t>BRRBA (Inc. 2021 FF&amp;U true up)</t>
  </si>
  <si>
    <t>CARE Balancing Account</t>
  </si>
  <si>
    <t>PPPAM Balancing Account</t>
  </si>
  <si>
    <t>D.21-11-028</t>
  </si>
  <si>
    <t>CIA Revenues within Public Purpose (BA)</t>
  </si>
  <si>
    <t>D.22-08-001</t>
  </si>
  <si>
    <t>Summer Reliability OIR</t>
  </si>
  <si>
    <t>D.21-03-056</t>
  </si>
  <si>
    <t>D.21-12-015</t>
  </si>
  <si>
    <t>Emergency Reliability UOS</t>
  </si>
  <si>
    <t>Resolution E-5183</t>
  </si>
  <si>
    <t>2021 GRC Track 2 Non-AB 1054 CapEx</t>
  </si>
  <si>
    <t>D.21-01-012 in A.19-08-013; Advice 4412-E</t>
  </si>
  <si>
    <t>2021 GRC Track 2 O&amp;M (36-Month Amortization)</t>
  </si>
  <si>
    <t>D.21-01-012; Advice 4658-E/E-A</t>
  </si>
  <si>
    <t>2021 GRC Track 3 O&amp;M (36-Month Amortization)</t>
  </si>
  <si>
    <t>D.22-06-032</t>
  </si>
  <si>
    <t>2021 VMBA Undercollection Threshold</t>
  </si>
  <si>
    <t>Advice 4807-E</t>
  </si>
  <si>
    <t>2021 TAMA Balance</t>
  </si>
  <si>
    <t>Advice 4764-E</t>
  </si>
  <si>
    <t>Safety and Reliability Investment Incentive Mechanism (SRIIM)</t>
  </si>
  <si>
    <t>D.19-05-020; Advice 4442-E</t>
  </si>
  <si>
    <t>Mobilehome Master Meter Balancing Account</t>
  </si>
  <si>
    <t>Advice 4641-E</t>
  </si>
  <si>
    <t>WEMA 1</t>
  </si>
  <si>
    <t>D.20-09-024</t>
  </si>
  <si>
    <t>CEMA - 2017/2018 Drought</t>
  </si>
  <si>
    <t>D.21-08-024</t>
  </si>
  <si>
    <t>SJV DAC Pilots</t>
  </si>
  <si>
    <t>GSRP Recovery Bonds FRC (AB 1054)</t>
  </si>
  <si>
    <t>D.20-11-007; Advice 4416-E</t>
  </si>
  <si>
    <t>Securitization</t>
  </si>
  <si>
    <t>2021 GRC Tracks 1 and 2 Recovery Bonds FRC #2 (AB 1054)</t>
  </si>
  <si>
    <t>D.21-10-025; Advice 4717-E-A</t>
  </si>
  <si>
    <t xml:space="preserve">Grid Safety &amp; Resiliency Program </t>
  </si>
  <si>
    <t>D.20-04-013, Advice 4197-E</t>
  </si>
  <si>
    <t>Public Policy Proceedings</t>
  </si>
  <si>
    <t xml:space="preserve">   Subtotal Safety Affordability Reliability</t>
  </si>
  <si>
    <t>Demand Response</t>
  </si>
  <si>
    <t>D.17-12-003</t>
  </si>
  <si>
    <t>D.17-12-003, Advice 4633-E-A</t>
  </si>
  <si>
    <t>Energy Efficiency</t>
  </si>
  <si>
    <t>Advice 4633-E-A</t>
  </si>
  <si>
    <t>Energy Efficiency Market Access Program</t>
  </si>
  <si>
    <t>D.21-12-011; Advice 4715-E</t>
  </si>
  <si>
    <t>2020 Uncollectibles (36-Month amortization)</t>
  </si>
  <si>
    <t>Advice 4658-E/E-A</t>
  </si>
  <si>
    <t>WNDRR Program</t>
  </si>
  <si>
    <t>D.21-11-002</t>
  </si>
  <si>
    <t>Schools Energy Efficiency Stimulus Program</t>
  </si>
  <si>
    <t>D.21-01-004 / Advice 4633-E-A</t>
  </si>
  <si>
    <t>CA Solar Initiatives/MASH/SASH</t>
  </si>
  <si>
    <t>Charge Ready Programs</t>
  </si>
  <si>
    <t>Advice 4336-E, D.20-08-045 / Advice 4497-E</t>
  </si>
  <si>
    <t>Low Income Programs (ESAP)</t>
  </si>
  <si>
    <t>D.21-06-015; Advice 4638-E</t>
  </si>
  <si>
    <t>Statewide ME&amp;O</t>
  </si>
  <si>
    <t>Low Income Programs (CARE/FERA Admin)</t>
  </si>
  <si>
    <t>EPIC - RD&amp;D and Renewables</t>
  </si>
  <si>
    <t>D.19-01-005, Advice 4371-E (Pending)</t>
  </si>
  <si>
    <t>Self-Generation Incentive Program (SGIP)</t>
  </si>
  <si>
    <t>D.21-11-028, Advice 4669-E</t>
  </si>
  <si>
    <t>Aliso Canyon Energy Storage</t>
  </si>
  <si>
    <t>D.20-01-021, Advice 4169-E</t>
  </si>
  <si>
    <t>Transportation Electrification</t>
  </si>
  <si>
    <t>D.18-05-040; D.18-01-024; Advice 4632-E</t>
  </si>
  <si>
    <t>Wheeler North Reef Expansion Project</t>
  </si>
  <si>
    <t>D.18-12-015, Advice 3946-E-B</t>
  </si>
  <si>
    <t>Non-CPUC Jurisdictional Proceedings</t>
  </si>
  <si>
    <t xml:space="preserve">   Subtotal Public Policy </t>
  </si>
  <si>
    <t>DWR Bond/Power</t>
  </si>
  <si>
    <t>Wildfire Fund Charge</t>
  </si>
  <si>
    <t>DWR</t>
  </si>
  <si>
    <t>DWR Bond Refund</t>
  </si>
  <si>
    <t>D.21-12-001; Advice 4690-E</t>
  </si>
  <si>
    <t>FERC Base Transmission</t>
  </si>
  <si>
    <t>D.21-12-006, Advice 4679-E</t>
  </si>
  <si>
    <t>TRBAA</t>
  </si>
  <si>
    <t>ER19-1553</t>
  </si>
  <si>
    <t>FERC</t>
  </si>
  <si>
    <t>RSBAA</t>
  </si>
  <si>
    <t>Docket No. ER22-310-000</t>
  </si>
  <si>
    <t>TOTCA</t>
  </si>
  <si>
    <t>TACBAA</t>
  </si>
  <si>
    <t>Docket No. ER22-308-000</t>
  </si>
  <si>
    <t>Total Approved, Implemented Since Jan 1 or To Be Implemented</t>
  </si>
  <si>
    <t>Docket No. ER21-1526-000</t>
  </si>
  <si>
    <t xml:space="preserve">   Subtotal Non-CPUC Jurisdictional</t>
  </si>
  <si>
    <t>PUCRF</t>
  </si>
  <si>
    <t>Total Authorized Revenue</t>
  </si>
  <si>
    <t>w/o PUCRF</t>
  </si>
  <si>
    <t>Check</t>
  </si>
  <si>
    <t>Current Revenue Requirement ($000):</t>
  </si>
  <si>
    <t>Inc. PUCRF</t>
  </si>
  <si>
    <t>Current Revenue Requirement Effective:</t>
  </si>
  <si>
    <t>Approved Application(s), Implemented Since Jan 1 or To Be Implemented</t>
  </si>
  <si>
    <t>Approved but not implemented</t>
  </si>
  <si>
    <t>Proceeding</t>
  </si>
  <si>
    <t>Authorized Revenue Requirement ($000)</t>
  </si>
  <si>
    <t>Existing or New Item (if existing, use delta from prior for rate impact)</t>
  </si>
  <si>
    <t>Total Authorized</t>
  </si>
  <si>
    <t>2021 GRC (With Attrition Years)</t>
  </si>
  <si>
    <t>Existing</t>
  </si>
  <si>
    <t>2021 GRC (With Attrition Years, inc. Aliso Canyon)</t>
  </si>
  <si>
    <t>2021 GRCRRMA (27-Month Amortization)</t>
  </si>
  <si>
    <t>New</t>
  </si>
  <si>
    <t>D.21-08-037</t>
  </si>
  <si>
    <t>CIA</t>
  </si>
  <si>
    <t>Pole Loading &amp; Deteriorated Poles Balancing Account (BA)</t>
  </si>
  <si>
    <t>TAMA</t>
  </si>
  <si>
    <t>Pension/PBOP/Medical Balancing Accounts (BA)</t>
  </si>
  <si>
    <t>2022 ERRA Forecast F&amp;PP</t>
  </si>
  <si>
    <t>2022 ERRA Forecast (2021 ending balance) (BA)</t>
  </si>
  <si>
    <t>2022 ERRA Forecast</t>
  </si>
  <si>
    <t>2022 ERRA Forecast (BA)</t>
  </si>
  <si>
    <t>2022 ERRA/PABA (BA)</t>
  </si>
  <si>
    <t>BRRBA (BA)</t>
  </si>
  <si>
    <t xml:space="preserve">BRRBA (BA) </t>
  </si>
  <si>
    <t>CARE  (BA)</t>
  </si>
  <si>
    <t>PPPAM  (BA)</t>
  </si>
  <si>
    <t>CSRP Track 1</t>
  </si>
  <si>
    <t>D.22-09-XXX</t>
  </si>
  <si>
    <t>Summer Reliability OIR (Emergency Rel. Phase 2)</t>
  </si>
  <si>
    <t>Emergency Reliability Utility Owned Storage (UOS)</t>
  </si>
  <si>
    <t>Advice 4617-E, Resolution E-5183</t>
  </si>
  <si>
    <t>Wildfire and Natural Disaster Resiliency Rebuild (WNDRR) Program</t>
  </si>
  <si>
    <t>R.19-01-011, Advice 4660-E</t>
  </si>
  <si>
    <t>MMMBA (in BRRBA-D)</t>
  </si>
  <si>
    <t>D.20-04-004, Advice 4372-E</t>
  </si>
  <si>
    <t>FRC for GSRP AB 1054 Capex</t>
  </si>
  <si>
    <t>D.20-11-007 / Advice 4416-E / A.20-07-008</t>
  </si>
  <si>
    <t xml:space="preserve"> </t>
  </si>
  <si>
    <t>Demand Response (Inc. ELPBA 2023-2025)</t>
  </si>
  <si>
    <t>Demand Response IDSM</t>
  </si>
  <si>
    <t>Advice 4633-E/E-A</t>
  </si>
  <si>
    <t>EE Market Access Program</t>
  </si>
  <si>
    <t>Approved - D.21-12-011; Advice 4715-E</t>
  </si>
  <si>
    <t>New Home Energy Storage Pilot (NHESP) &amp; Smart Heat Pump Water Heater Program (SHPWHP)</t>
  </si>
  <si>
    <t>D.22-04-044</t>
  </si>
  <si>
    <t>California Hub for Energy Efficiency Financing (CHEEF) Programs 2022-2027 Funding</t>
  </si>
  <si>
    <t>Advice 4606-E</t>
  </si>
  <si>
    <t>Efficiency Savings and Performance Incentive (ESPI) (Annual Tier 3)</t>
  </si>
  <si>
    <t>Resolution E-5108, AL 4281-E</t>
  </si>
  <si>
    <t>School Energy Efficiency Stimulus Program</t>
  </si>
  <si>
    <t>D.21-01-004 / Pending Advice 4633-E/E-A</t>
  </si>
  <si>
    <t>Charge Ready Programs (Pilot, Bridge and Schools and Parks)</t>
  </si>
  <si>
    <t>Forecast consistent with the 2022 SB695/En Banc Data Request</t>
  </si>
  <si>
    <t>D.21-06-015</t>
  </si>
  <si>
    <t>2020 RUBA Uncollectibles (36-Month Amortization)</t>
  </si>
  <si>
    <t>A.21-06-016, Advice 4658-E/E-A</t>
  </si>
  <si>
    <t>D.19-01-005</t>
  </si>
  <si>
    <t>DWR Bond/Power Refund</t>
  </si>
  <si>
    <t>Wildfire Fund Charge (AB1054)</t>
  </si>
  <si>
    <t>TRBAA (BA)</t>
  </si>
  <si>
    <t>RSBAA (BA)</t>
  </si>
  <si>
    <t>TACBAA (BA)</t>
  </si>
  <si>
    <t>Total w/Authorized and Pending</t>
  </si>
  <si>
    <t>Pending Application(s), Not Yet Approved</t>
  </si>
  <si>
    <t>Basis for Revenue Requirement</t>
  </si>
  <si>
    <t>Proposed Revenue Requirement ($000)</t>
  </si>
  <si>
    <t>Proposed Revenue Recovery Mechanism</t>
  </si>
  <si>
    <t>Include in Impact</t>
  </si>
  <si>
    <t>2021 GRC Track 4 (2024 Attrition Bridge Year)</t>
  </si>
  <si>
    <t>A.19-08-013</t>
  </si>
  <si>
    <t>Application</t>
  </si>
  <si>
    <t>2021 CEMA/WEMA - 2019/2020 Drought, COVID, 2018-2019 Storm Events, Property Ins</t>
  </si>
  <si>
    <t>A.21-09-019</t>
  </si>
  <si>
    <t>2021 WM/VM (2021 over authorized)</t>
  </si>
  <si>
    <t>A.22-06-003</t>
  </si>
  <si>
    <t>WEMA 2 Insurance</t>
  </si>
  <si>
    <t>A.20-12-010</t>
  </si>
  <si>
    <t>2020 ERRA Review</t>
  </si>
  <si>
    <t>A.21-04-001</t>
  </si>
  <si>
    <t>2021 ERRA Review</t>
  </si>
  <si>
    <t>A.22-04-001</t>
  </si>
  <si>
    <t>2023 ERRA Forecast F&amp;PP</t>
  </si>
  <si>
    <t>A.22-05-014</t>
  </si>
  <si>
    <t>Total</t>
  </si>
  <si>
    <t>2023 ERRA Forecast (BA)</t>
  </si>
  <si>
    <t>Increase over current</t>
  </si>
  <si>
    <t>2023 ERRA Forecast</t>
  </si>
  <si>
    <t>2023 ERRA/PABA (BA)</t>
  </si>
  <si>
    <t>2023 Cost of Capital</t>
  </si>
  <si>
    <t>A.22-04-010</t>
  </si>
  <si>
    <t>2022 CEMA 
(2020 Storms)</t>
  </si>
  <si>
    <t>A.22-03-018</t>
  </si>
  <si>
    <t>2023-2027 Demand Response</t>
  </si>
  <si>
    <t>A.22-05-004</t>
  </si>
  <si>
    <t>CSRP Track 2</t>
  </si>
  <si>
    <t>A.21-07-009</t>
  </si>
  <si>
    <t>2024-2027 EE Application</t>
  </si>
  <si>
    <t>A.22-03-007</t>
  </si>
  <si>
    <t>Building Electrification</t>
  </si>
  <si>
    <t>A.21-12-009</t>
  </si>
  <si>
    <t>Click Through Authorization Process</t>
  </si>
  <si>
    <t>A.18-11-025, -026, -027</t>
  </si>
  <si>
    <t> ER19-1553</t>
  </si>
  <si>
    <t>Total Pending, Filed but not Approved</t>
  </si>
  <si>
    <t>w/PUCRF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</si>
</sst>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_(* #,##0.00000_);_(* \(#,##0.00000\);_(* &quot;-&quot;??_);_(@_)"/>
    <numFmt numFmtId="167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113">
    <xf numFmtId="0" fontId="0" fillId="0" borderId="0" xfId="0"/>
    <xf numFmtId="164" fontId="3" fillId="0" borderId="4" xfId="1" applyNumberFormat="1" applyFont="1" applyFill="1" applyBorder="1" applyAlignment="1">
      <alignment horizontal="left"/>
    </xf>
    <xf numFmtId="164" fontId="3" fillId="0" borderId="4" xfId="1" applyNumberFormat="1" applyFont="1" applyFill="1" applyBorder="1"/>
    <xf numFmtId="164" fontId="3" fillId="0" borderId="11" xfId="1" applyNumberFormat="1" applyFont="1" applyFill="1" applyBorder="1"/>
    <xf numFmtId="164" fontId="4" fillId="0" borderId="4" xfId="1" applyNumberFormat="1" applyFont="1" applyFill="1" applyBorder="1" applyAlignment="1">
      <alignment horizontal="left"/>
    </xf>
    <xf numFmtId="41" fontId="6" fillId="0" borderId="0" xfId="1" applyNumberFormat="1" applyFont="1" applyFill="1"/>
    <xf numFmtId="164" fontId="6" fillId="0" borderId="0" xfId="1" applyNumberFormat="1" applyFont="1" applyFill="1"/>
    <xf numFmtId="41" fontId="6" fillId="0" borderId="0" xfId="1" applyNumberFormat="1" applyFont="1" applyFill="1" applyBorder="1"/>
    <xf numFmtId="41" fontId="6" fillId="0" borderId="17" xfId="1" applyNumberFormat="1" applyFont="1" applyFill="1" applyBorder="1"/>
    <xf numFmtId="9" fontId="6" fillId="0" borderId="0" xfId="2" applyFont="1" applyFill="1"/>
    <xf numFmtId="41" fontId="6" fillId="0" borderId="10" xfId="1" applyNumberFormat="1" applyFont="1" applyFill="1" applyBorder="1"/>
    <xf numFmtId="164" fontId="6" fillId="0" borderId="0" xfId="1" applyNumberFormat="1" applyFont="1" applyFill="1" applyBorder="1"/>
    <xf numFmtId="41" fontId="6" fillId="0" borderId="0" xfId="1" applyNumberFormat="1" applyFont="1" applyFill="1" applyAlignment="1">
      <alignment horizontal="left" indent="1"/>
    </xf>
    <xf numFmtId="164" fontId="6" fillId="0" borderId="0" xfId="1" applyNumberFormat="1" applyFont="1" applyFill="1" applyBorder="1" applyAlignment="1">
      <alignment wrapText="1"/>
    </xf>
    <xf numFmtId="0" fontId="3" fillId="0" borderId="0" xfId="0" applyFont="1" applyFill="1"/>
    <xf numFmtId="49" fontId="4" fillId="0" borderId="1" xfId="0" quotePrefix="1" applyNumberFormat="1" applyFont="1" applyFill="1" applyBorder="1" applyAlignment="1">
      <alignment horizontal="right"/>
    </xf>
    <xf numFmtId="49" fontId="4" fillId="0" borderId="2" xfId="0" quotePrefix="1" applyNumberFormat="1" applyFont="1" applyFill="1" applyBorder="1" applyAlignment="1">
      <alignment horizontal="center"/>
    </xf>
    <xf numFmtId="49" fontId="4" fillId="0" borderId="4" xfId="0" quotePrefix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49" fontId="4" fillId="0" borderId="4" xfId="0" quotePrefix="1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4" fillId="0" borderId="0" xfId="0" applyFont="1" applyFill="1"/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/>
    <xf numFmtId="164" fontId="3" fillId="0" borderId="0" xfId="1" applyNumberFormat="1" applyFont="1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3" fillId="0" borderId="0" xfId="4" applyFont="1" applyFill="1"/>
    <xf numFmtId="164" fontId="3" fillId="0" borderId="10" xfId="1" applyNumberFormat="1" applyFont="1" applyFill="1" applyBorder="1"/>
    <xf numFmtId="0" fontId="3" fillId="0" borderId="0" xfId="0" applyFont="1" applyFill="1" applyAlignment="1">
      <alignment wrapText="1"/>
    </xf>
    <xf numFmtId="41" fontId="3" fillId="0" borderId="0" xfId="0" applyNumberFormat="1" applyFont="1" applyFill="1"/>
    <xf numFmtId="3" fontId="4" fillId="0" borderId="12" xfId="0" applyNumberFormat="1" applyFont="1" applyFill="1" applyBorder="1"/>
    <xf numFmtId="3" fontId="4" fillId="0" borderId="13" xfId="0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0" fontId="3" fillId="0" borderId="14" xfId="0" applyFont="1" applyFill="1" applyBorder="1"/>
    <xf numFmtId="43" fontId="3" fillId="0" borderId="15" xfId="0" applyNumberFormat="1" applyFont="1" applyFill="1" applyBorder="1"/>
    <xf numFmtId="164" fontId="3" fillId="0" borderId="15" xfId="0" applyNumberFormat="1" applyFont="1" applyFill="1" applyBorder="1"/>
    <xf numFmtId="43" fontId="3" fillId="0" borderId="0" xfId="0" applyNumberFormat="1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3" fillId="0" borderId="2" xfId="0" applyFont="1" applyFill="1" applyBorder="1"/>
    <xf numFmtId="0" fontId="3" fillId="0" borderId="3" xfId="0" applyFont="1" applyFill="1" applyBorder="1"/>
    <xf numFmtId="49" fontId="9" fillId="0" borderId="0" xfId="3" applyNumberFormat="1" applyFont="1" applyFill="1" applyBorder="1" applyAlignment="1">
      <alignment horizontal="center" vertical="center"/>
    </xf>
    <xf numFmtId="49" fontId="10" fillId="0" borderId="0" xfId="3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wrapText="1"/>
    </xf>
    <xf numFmtId="39" fontId="3" fillId="0" borderId="0" xfId="1" applyNumberFormat="1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6" fillId="0" borderId="0" xfId="0" applyFont="1"/>
    <xf numFmtId="3" fontId="7" fillId="0" borderId="0" xfId="0" applyNumberFormat="1" applyFont="1"/>
    <xf numFmtId="37" fontId="6" fillId="0" borderId="0" xfId="0" applyNumberFormat="1" applyFont="1"/>
    <xf numFmtId="43" fontId="6" fillId="0" borderId="0" xfId="0" applyNumberFormat="1" applyFont="1"/>
    <xf numFmtId="41" fontId="6" fillId="0" borderId="0" xfId="0" applyNumberFormat="1" applyFont="1"/>
    <xf numFmtId="167" fontId="6" fillId="0" borderId="0" xfId="0" applyNumberFormat="1" applyFont="1"/>
    <xf numFmtId="0" fontId="6" fillId="0" borderId="0" xfId="0" applyFont="1" applyAlignment="1">
      <alignment horizontal="left" wrapText="1"/>
    </xf>
    <xf numFmtId="164" fontId="6" fillId="0" borderId="0" xfId="0" applyNumberFormat="1" applyFont="1"/>
    <xf numFmtId="165" fontId="6" fillId="0" borderId="0" xfId="0" applyNumberFormat="1" applyFont="1"/>
    <xf numFmtId="164" fontId="6" fillId="0" borderId="0" xfId="1" applyNumberFormat="1" applyFont="1"/>
    <xf numFmtId="0" fontId="6" fillId="2" borderId="0" xfId="0" applyFont="1" applyFill="1" applyAlignment="1">
      <alignment horizontal="left" wrapText="1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Continuous" vertical="center"/>
    </xf>
    <xf numFmtId="164" fontId="6" fillId="0" borderId="6" xfId="0" applyNumberFormat="1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41" fontId="6" fillId="0" borderId="0" xfId="1" applyNumberFormat="1" applyFont="1"/>
    <xf numFmtId="41" fontId="6" fillId="0" borderId="17" xfId="1" applyNumberFormat="1" applyFont="1" applyBorder="1"/>
    <xf numFmtId="41" fontId="6" fillId="2" borderId="0" xfId="1" applyNumberFormat="1" applyFont="1" applyFill="1"/>
    <xf numFmtId="164" fontId="6" fillId="2" borderId="0" xfId="1" applyNumberFormat="1" applyFont="1" applyFill="1"/>
    <xf numFmtId="41" fontId="6" fillId="2" borderId="0" xfId="1" applyNumberFormat="1" applyFont="1" applyFill="1" applyBorder="1"/>
    <xf numFmtId="0" fontId="6" fillId="0" borderId="0" xfId="0" applyFont="1" applyAlignment="1">
      <alignment wrapText="1"/>
    </xf>
    <xf numFmtId="41" fontId="6" fillId="0" borderId="10" xfId="1" applyNumberFormat="1" applyFont="1" applyBorder="1"/>
    <xf numFmtId="3" fontId="6" fillId="0" borderId="0" xfId="0" applyNumberFormat="1" applyFont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6" fillId="2" borderId="0" xfId="0" quotePrefix="1" applyFont="1" applyFill="1" applyAlignment="1">
      <alignment vertical="center" wrapText="1"/>
    </xf>
    <xf numFmtId="41" fontId="6" fillId="2" borderId="0" xfId="0" applyNumberFormat="1" applyFont="1" applyFill="1"/>
    <xf numFmtId="3" fontId="6" fillId="2" borderId="0" xfId="0" applyNumberFormat="1" applyFont="1" applyFill="1"/>
    <xf numFmtId="0" fontId="6" fillId="0" borderId="0" xfId="4" applyFont="1"/>
    <xf numFmtId="41" fontId="6" fillId="0" borderId="0" xfId="0" applyNumberFormat="1" applyFont="1" applyAlignment="1">
      <alignment horizontal="right"/>
    </xf>
    <xf numFmtId="166" fontId="6" fillId="0" borderId="0" xfId="0" applyNumberFormat="1" applyFont="1"/>
    <xf numFmtId="39" fontId="6" fillId="0" borderId="0" xfId="0" applyNumberFormat="1" applyFont="1" applyAlignment="1">
      <alignment horizontal="left"/>
    </xf>
    <xf numFmtId="37" fontId="7" fillId="0" borderId="0" xfId="0" applyNumberFormat="1" applyFont="1"/>
    <xf numFmtId="3" fontId="7" fillId="0" borderId="12" xfId="0" applyNumberFormat="1" applyFont="1" applyBorder="1"/>
    <xf numFmtId="0" fontId="7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6" fillId="0" borderId="6" xfId="0" applyNumberFormat="1" applyFont="1" applyBorder="1" applyAlignment="1">
      <alignment horizontal="center" vertical="center"/>
    </xf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6" fillId="0" borderId="0" xfId="1" applyNumberFormat="1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3" applyFont="1" applyBorder="1"/>
    <xf numFmtId="9" fontId="6" fillId="0" borderId="0" xfId="2" applyFont="1" applyBorder="1"/>
    <xf numFmtId="0" fontId="6" fillId="0" borderId="0" xfId="0" quotePrefix="1" applyFont="1" applyAlignment="1">
      <alignment vertical="center"/>
    </xf>
    <xf numFmtId="164" fontId="6" fillId="0" borderId="0" xfId="1" applyNumberFormat="1" applyFont="1" applyAlignment="1">
      <alignment wrapText="1"/>
    </xf>
    <xf numFmtId="41" fontId="6" fillId="0" borderId="0" xfId="0" applyNumberFormat="1" applyFont="1" applyAlignment="1">
      <alignment wrapText="1"/>
    </xf>
    <xf numFmtId="0" fontId="6" fillId="2" borderId="0" xfId="0" applyFont="1" applyFill="1" applyAlignment="1">
      <alignment horizontal="center" wrapText="1"/>
    </xf>
  </cellXfs>
  <cellStyles count="5">
    <cellStyle name="Comma" xfId="1" builtinId="3"/>
    <cellStyle name="Hyperlink" xfId="3" builtinId="8"/>
    <cellStyle name="Normal" xfId="0" builtinId="0"/>
    <cellStyle name="Normal 10" xfId="4" xr:uid="{9306B364-1F8C-4F88-B7DF-C970CD22016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teams/reg1/sro/RACR/Shared%20Documents/Reporting/Rate%20Tracker/2022/CONFIDENTIAL%20SCE%20Third%20Quarter%202022%20Cost%20and%20Rate%20Tracking%20Tool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teams/reg1/sro/RACR/Shared%20Documents/Consolidated%20Rate%20Change/2021/2021%20CRR%20Tab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teams/reg1/sro/RACR/Shared%20Documents/Regulatory%20Proceedings/ERRA%20Forecast/2023%20ERRA%20Forecast/Final%20Tables/Chapter%20II%20and%20VIII_Rev%20Req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uthorized Rev Req"/>
      <sheetName val="Incremental Rev Req"/>
      <sheetName val="SAR and RAR"/>
      <sheetName val="Res Bill Impact"/>
      <sheetName val="Simple Bill Insert Calc (2)"/>
      <sheetName val="SAR and RAR (2)"/>
      <sheetName val="Res Bill Impact (2)"/>
    </sheetNames>
    <sheetDataSet>
      <sheetData sheetId="0">
        <row r="8">
          <cell r="B8" t="str">
            <v>2021 GRC Track 4 (2024 Attrition Bridge Year)</v>
          </cell>
          <cell r="D8" t="str">
            <v>y</v>
          </cell>
        </row>
        <row r="9">
          <cell r="B9" t="str">
            <v>2021 CEMA/WEMA - 2019/2020 Drought, COVID, 2018-2019 Storm Events, Property Ins</v>
          </cell>
          <cell r="D9" t="str">
            <v>y</v>
          </cell>
        </row>
        <row r="10">
          <cell r="B10" t="str">
            <v>2021 WM/VM (2021 over authorized)</v>
          </cell>
          <cell r="D10" t="str">
            <v>y</v>
          </cell>
        </row>
        <row r="11">
          <cell r="B11" t="str">
            <v>WEMA 2 Insurance</v>
          </cell>
          <cell r="D11" t="str">
            <v>y</v>
          </cell>
        </row>
        <row r="12">
          <cell r="B12" t="str">
            <v>2020 ERRA Review</v>
          </cell>
          <cell r="D12" t="str">
            <v>y</v>
          </cell>
        </row>
        <row r="13">
          <cell r="B13" t="str">
            <v>2021 ERRA Review</v>
          </cell>
          <cell r="D13" t="str">
            <v>y</v>
          </cell>
        </row>
        <row r="14">
          <cell r="B14" t="str">
            <v>2023 ERRA Forecast</v>
          </cell>
          <cell r="D14" t="str">
            <v>y</v>
          </cell>
        </row>
        <row r="15">
          <cell r="B15" t="str">
            <v>2023 Cost of Capital</v>
          </cell>
          <cell r="D15" t="str">
            <v>y</v>
          </cell>
        </row>
        <row r="16">
          <cell r="B16" t="str">
            <v>2022 CEMA 
(2020 Storms)</v>
          </cell>
          <cell r="D16" t="str">
            <v>y</v>
          </cell>
        </row>
        <row r="17">
          <cell r="B17" t="str">
            <v>2023-2027 Demand Response</v>
          </cell>
          <cell r="D17" t="str">
            <v>y</v>
          </cell>
        </row>
        <row r="18">
          <cell r="B18" t="str">
            <v>CSRP Track 1</v>
          </cell>
          <cell r="D18" t="str">
            <v>y</v>
          </cell>
        </row>
        <row r="19">
          <cell r="B19" t="str">
            <v>CSRP Track 2</v>
          </cell>
          <cell r="D19" t="str">
            <v>y</v>
          </cell>
        </row>
        <row r="20">
          <cell r="B20" t="str">
            <v>2024-2027 EE Application</v>
          </cell>
          <cell r="D20" t="str">
            <v>y</v>
          </cell>
        </row>
        <row r="21">
          <cell r="B21" t="str">
            <v>Building Electrification</v>
          </cell>
          <cell r="D21" t="str">
            <v>y</v>
          </cell>
        </row>
        <row r="22">
          <cell r="B22" t="str">
            <v>Click Through Authorization Process</v>
          </cell>
          <cell r="D22" t="str">
            <v>y</v>
          </cell>
        </row>
        <row r="23">
          <cell r="B23" t="str">
            <v>FERC Base Transmission</v>
          </cell>
          <cell r="D23" t="str">
            <v>y</v>
          </cell>
        </row>
        <row r="24">
          <cell r="B24" t="str">
            <v>Third FRC (Tracks 1 &amp; 3 Capex)</v>
          </cell>
          <cell r="D24" t="str">
            <v>y</v>
          </cell>
        </row>
        <row r="25">
          <cell r="B25" t="str">
            <v>Z-Factor AL for 2020 VM Costs</v>
          </cell>
          <cell r="D25" t="str">
            <v>y</v>
          </cell>
        </row>
        <row r="26">
          <cell r="B26" t="str">
            <v xml:space="preserve">Recovery of 2022 TAMA </v>
          </cell>
          <cell r="D26" t="str">
            <v>y</v>
          </cell>
        </row>
      </sheetData>
      <sheetData sheetId="1">
        <row r="4">
          <cell r="V4" t="str">
            <v>October 1, 2022</v>
          </cell>
        </row>
        <row r="9">
          <cell r="V9">
            <v>703910</v>
          </cell>
        </row>
        <row r="10">
          <cell r="V10">
            <v>62641</v>
          </cell>
        </row>
        <row r="11">
          <cell r="V11">
            <v>6492669</v>
          </cell>
        </row>
        <row r="12">
          <cell r="V12">
            <v>-3564.7908969583245</v>
          </cell>
        </row>
        <row r="13">
          <cell r="V13">
            <v>2213.3947592324962</v>
          </cell>
        </row>
        <row r="14">
          <cell r="V14">
            <v>322298.97490968654</v>
          </cell>
        </row>
        <row r="15">
          <cell r="V15">
            <v>-11261</v>
          </cell>
        </row>
        <row r="16">
          <cell r="V16">
            <v>6602.306107859029</v>
          </cell>
        </row>
        <row r="18">
          <cell r="S18">
            <v>19174.554547853812</v>
          </cell>
        </row>
        <row r="19">
          <cell r="V19">
            <v>-5445.8638904927429</v>
          </cell>
        </row>
        <row r="20">
          <cell r="V20">
            <v>-18772.983975755837</v>
          </cell>
        </row>
        <row r="21">
          <cell r="V21">
            <v>3778330</v>
          </cell>
        </row>
        <row r="22">
          <cell r="V22">
            <v>607823</v>
          </cell>
        </row>
        <row r="23">
          <cell r="V23">
            <v>69333.29532174411</v>
          </cell>
        </row>
        <row r="24">
          <cell r="V24">
            <v>-647824</v>
          </cell>
        </row>
        <row r="25">
          <cell r="V25">
            <v>4648</v>
          </cell>
        </row>
        <row r="26">
          <cell r="V26">
            <v>25298</v>
          </cell>
        </row>
        <row r="27">
          <cell r="V27">
            <v>70144</v>
          </cell>
        </row>
        <row r="28">
          <cell r="V28">
            <v>-48197.667760599841</v>
          </cell>
        </row>
        <row r="29">
          <cell r="V29">
            <v>540048.63167231309</v>
          </cell>
        </row>
        <row r="30">
          <cell r="V30">
            <v>3855.5164676486602</v>
          </cell>
        </row>
        <row r="32">
          <cell r="V32">
            <v>-5204.401779759055</v>
          </cell>
        </row>
        <row r="33">
          <cell r="V33">
            <v>159282.49303614171</v>
          </cell>
        </row>
        <row r="34">
          <cell r="V34">
            <v>3230.0249812341499</v>
          </cell>
        </row>
        <row r="35">
          <cell r="V35">
            <v>-8951.3608759825784</v>
          </cell>
        </row>
        <row r="36">
          <cell r="V36">
            <v>41729.766552047193</v>
          </cell>
        </row>
        <row r="37">
          <cell r="V37">
            <v>0</v>
          </cell>
        </row>
        <row r="38">
          <cell r="V38">
            <v>2189.2149060761076</v>
          </cell>
        </row>
        <row r="39">
          <cell r="V39">
            <v>6656.6289730711396</v>
          </cell>
        </row>
        <row r="40">
          <cell r="V40">
            <v>10010.728669816845</v>
          </cell>
        </row>
        <row r="41">
          <cell r="V41">
            <v>84906</v>
          </cell>
        </row>
        <row r="43">
          <cell r="V43">
            <v>135161.69012109609</v>
          </cell>
        </row>
        <row r="44">
          <cell r="V44">
            <v>135415.57954872175</v>
          </cell>
        </row>
        <row r="45">
          <cell r="V45">
            <v>26556.155303815507</v>
          </cell>
        </row>
        <row r="46">
          <cell r="V46">
            <v>119343.20661840618</v>
          </cell>
        </row>
        <row r="48">
          <cell r="V48">
            <v>11737.630855592281</v>
          </cell>
        </row>
        <row r="51">
          <cell r="V51">
            <v>19434.772000000001</v>
          </cell>
        </row>
        <row r="52">
          <cell r="V52">
            <v>32030.696235864107</v>
          </cell>
        </row>
        <row r="56">
          <cell r="V56">
            <v>22357.408887852056</v>
          </cell>
        </row>
        <row r="57">
          <cell r="V57">
            <v>5987.2246923217717</v>
          </cell>
        </row>
        <row r="58">
          <cell r="V58">
            <v>318470.22516050027</v>
          </cell>
        </row>
        <row r="59">
          <cell r="V59">
            <v>13663.633449585868</v>
          </cell>
        </row>
        <row r="60">
          <cell r="V60">
            <v>25700.148339297579</v>
          </cell>
        </row>
        <row r="61">
          <cell r="V61">
            <v>23524.88576140692</v>
          </cell>
        </row>
        <row r="62">
          <cell r="V62">
            <v>88094.039167228708</v>
          </cell>
        </row>
        <row r="63">
          <cell r="V63">
            <v>19267</v>
          </cell>
        </row>
        <row r="65">
          <cell r="V65">
            <v>59430.94164554133</v>
          </cell>
        </row>
        <row r="66">
          <cell r="V66">
            <v>10221.59708536118</v>
          </cell>
        </row>
        <row r="67">
          <cell r="V67">
            <v>0</v>
          </cell>
        </row>
        <row r="68">
          <cell r="V68">
            <v>75098.362993066301</v>
          </cell>
        </row>
        <row r="69">
          <cell r="V69">
            <v>56626.343990883157</v>
          </cell>
        </row>
        <row r="71">
          <cell r="V71">
            <v>12881</v>
          </cell>
        </row>
        <row r="77">
          <cell r="V77">
            <v>-145519.42030802707</v>
          </cell>
        </row>
        <row r="78">
          <cell r="V78">
            <v>446976</v>
          </cell>
        </row>
        <row r="79">
          <cell r="V79">
            <v>1412488.8840000001</v>
          </cell>
        </row>
        <row r="80">
          <cell r="V80">
            <v>-112518</v>
          </cell>
        </row>
        <row r="81">
          <cell r="V81">
            <v>-66884</v>
          </cell>
        </row>
        <row r="82">
          <cell r="V82">
            <v>156958.16999999998</v>
          </cell>
        </row>
        <row r="84">
          <cell r="T84">
            <v>100182.76671373259</v>
          </cell>
        </row>
        <row r="85">
          <cell r="V85">
            <v>15270459.403987424</v>
          </cell>
        </row>
        <row r="86">
          <cell r="V86">
            <v>15170276.637273692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- Oct"/>
      <sheetName val="2022 Proc Oct Table 1"/>
      <sheetName val="2022 - Oct Table 2"/>
      <sheetName val="2022 Oct Table 3"/>
      <sheetName val="2022 Oct Table 3 (2)"/>
      <sheetName val="2022 - Jun"/>
      <sheetName val="2022 Proc Jun Table 1"/>
      <sheetName val="2022 - Jun Table 2"/>
      <sheetName val="2022 - Apr for 2023 ERRA"/>
      <sheetName val="2022 - Apr"/>
      <sheetName val="2022 Proc Apr Table 1"/>
      <sheetName val="2022 - Apr Table 2"/>
      <sheetName val="Corp Comm Req &amp; SAR History"/>
      <sheetName val="2022 - Mar"/>
      <sheetName val="2022 Proc Mar Table 1"/>
      <sheetName val="2022 - Mar Table 2"/>
      <sheetName val="2022 - Jan plus 2022 ERRA"/>
      <sheetName val="2022 - Jan"/>
      <sheetName val="2022 Proc Jan Table 1"/>
      <sheetName val="2022 - Jan Table 2"/>
      <sheetName val="2022 ERRA"/>
      <sheetName val="2021 - Oct ERRA Nov. Update"/>
      <sheetName val="2021 - Oct"/>
      <sheetName val="2021 Proc Oct Table 1"/>
      <sheetName val="2021 - Oct Table 2"/>
      <sheetName val="2021 - June"/>
      <sheetName val="2021 Proc June Table 1"/>
      <sheetName val="2021 - June Table 2"/>
      <sheetName val="2021 - Feb"/>
      <sheetName val="2021 Proc Feb Table 1"/>
      <sheetName val="2021 - Feb Table 2"/>
      <sheetName val="2020 - Oct With 2021 ERRA"/>
      <sheetName val="2020 - Oct"/>
      <sheetName val="2020 Proc Oct Table 1"/>
      <sheetName val="2020 - Oct Table 2"/>
      <sheetName val="2020 - June with 2021 ERRA"/>
      <sheetName val="2020 - June"/>
      <sheetName val="2020 Proc June Table 1"/>
      <sheetName val="2020 - June Table 2"/>
      <sheetName val="2020 - April"/>
      <sheetName val="2020 Proc April Table 1"/>
      <sheetName val="2020 - April Table 2"/>
      <sheetName val="2020 - Jan"/>
      <sheetName val="2020 Proc Jan Partial Table 1"/>
      <sheetName val="2020 - Jan Partial Table 2"/>
      <sheetName val="BACKUP&gt;&gt;&gt;&gt;&gt;&gt;"/>
      <sheetName val="2019 - July 26 PD"/>
      <sheetName val="2019 Proc July 26 Table 1"/>
      <sheetName val="2019 - July 26 Tabl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6">
          <cell r="F66">
            <v>10072.410937378341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Forecast"/>
      <sheetName val="Table II-3 2016 v 2014"/>
      <sheetName val="Table II-2 2019 ERRA RevReqt"/>
      <sheetName val="Table II-2 ERRA RevReq OLD"/>
      <sheetName val="2023 FPPB"/>
      <sheetName val="Table II-1"/>
      <sheetName val="Table II-2"/>
      <sheetName val="DW II-2"/>
      <sheetName val="Table VIII-35 OLD"/>
      <sheetName val="Example - Shows less GHG Costs"/>
      <sheetName val="Table VIII-36 OLD "/>
      <sheetName val="Table VIII-XX Desiree Version"/>
      <sheetName val="Table VIII-35"/>
      <sheetName val="Table VIII-36"/>
      <sheetName val="Table VIII-37"/>
      <sheetName val="Table VIII-38"/>
      <sheetName val="PurPwr Exps VIII-39"/>
      <sheetName val="Table VIII-39"/>
      <sheetName val="Table VIII-40"/>
      <sheetName val="Table VIII-41"/>
      <sheetName val="Projected 12 31 21  Balances"/>
      <sheetName val="2020 NSG by Month Magesh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F11">
            <v>3705996.5121768387</v>
          </cell>
        </row>
        <row r="12">
          <cell r="F12">
            <v>704329.85240223701</v>
          </cell>
        </row>
        <row r="13">
          <cell r="F13">
            <v>1163.689800993717</v>
          </cell>
        </row>
        <row r="14">
          <cell r="F14">
            <v>130232.42638399848</v>
          </cell>
        </row>
        <row r="15">
          <cell r="F15">
            <v>47282.350529015072</v>
          </cell>
        </row>
        <row r="16">
          <cell r="F16">
            <v>-1342.1041237123823</v>
          </cell>
        </row>
        <row r="23">
          <cell r="F23">
            <v>-19335.55132327064</v>
          </cell>
        </row>
        <row r="25">
          <cell r="F25">
            <v>-5964.3501935582035</v>
          </cell>
        </row>
        <row r="29">
          <cell r="F29">
            <v>4740.2184171534518</v>
          </cell>
        </row>
        <row r="33">
          <cell r="F33">
            <v>26515.690047616696</v>
          </cell>
        </row>
        <row r="34">
          <cell r="F34">
            <v>-746828.59299999999</v>
          </cell>
        </row>
        <row r="38">
          <cell r="F38">
            <v>55854.542094071367</v>
          </cell>
        </row>
        <row r="39">
          <cell r="F39">
            <v>-11100.648725438117</v>
          </cell>
        </row>
        <row r="40">
          <cell r="F40">
            <v>-3018.2030506352958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Public/TM2/Shared%20Documents/Forms/AllItems.aspx" TargetMode="External"/><Relationship Id="rId2" Type="http://schemas.openxmlformats.org/officeDocument/2006/relationships/hyperlink" Target="../../../Public/TM2/Shared%20Documents/Forms/AllItems.aspx" TargetMode="External"/><Relationship Id="rId1" Type="http://schemas.openxmlformats.org/officeDocument/2006/relationships/hyperlink" Target="https://library.sce.com/content/dam/sce-doclib/public/regulatory/filings/pending/electric/ELECTRIC_4590-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../../../../../../:b:/r/teams/Public/TM2/Shared%20Documents/Public/Regulatory/Filings-Advice%20Letters/Pending/Electric/ELECTRIC_4864-E.pdf?csf=1&amp;web=1&amp;e=pb5wb9" TargetMode="External"/><Relationship Id="rId4" Type="http://schemas.openxmlformats.org/officeDocument/2006/relationships/hyperlink" Target="../../../../../../../../:b:/r/teams/Public/TM2/Shared%20Documents/Public/Regulatory/Filings-Advice%20Letters/Approved/Electric/ELECTRIC_4796-E.pdf?csf=1&amp;web=1&amp;e=o58Pb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CED3-5A99-48F3-9181-78F1B76AB23E}">
  <sheetPr>
    <pageSetUpPr fitToPage="1"/>
  </sheetPr>
  <dimension ref="A1:J91"/>
  <sheetViews>
    <sheetView showGridLines="0" view="pageLayout" zoomScaleNormal="85" workbookViewId="0">
      <selection sqref="A1:XFD1"/>
    </sheetView>
  </sheetViews>
  <sheetFormatPr defaultColWidth="9.1796875" defaultRowHeight="14.5" x14ac:dyDescent="0.35"/>
  <cols>
    <col min="1" max="1" width="65.54296875" style="14" bestFit="1" customWidth="1"/>
    <col min="2" max="2" width="39.54296875" style="14" customWidth="1"/>
    <col min="3" max="7" width="22" style="14" customWidth="1"/>
    <col min="8" max="8" width="31.453125" style="14" customWidth="1"/>
    <col min="9" max="9" width="13.453125" style="14" customWidth="1"/>
    <col min="10" max="16384" width="9.1796875" style="14"/>
  </cols>
  <sheetData>
    <row r="1" spans="1:9" x14ac:dyDescent="0.35">
      <c r="H1" s="41"/>
    </row>
    <row r="2" spans="1:9" x14ac:dyDescent="0.35">
      <c r="A2" s="14" t="s">
        <v>0</v>
      </c>
    </row>
    <row r="3" spans="1:9" ht="15" thickBot="1" x14ac:dyDescent="0.4">
      <c r="A3" s="14" t="s">
        <v>1</v>
      </c>
    </row>
    <row r="4" spans="1:9" ht="18" customHeight="1" x14ac:dyDescent="0.35">
      <c r="B4" s="15"/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42"/>
      <c r="I4" s="43"/>
    </row>
    <row r="5" spans="1:9" ht="3.75" customHeight="1" x14ac:dyDescent="0.35">
      <c r="B5" s="17"/>
      <c r="I5" s="27"/>
    </row>
    <row r="6" spans="1:9" s="18" customFormat="1" x14ac:dyDescent="0.35">
      <c r="B6" s="19"/>
      <c r="C6" s="44" t="s">
        <v>7</v>
      </c>
      <c r="D6" s="44" t="s">
        <v>8</v>
      </c>
      <c r="E6" s="44" t="s">
        <v>9</v>
      </c>
      <c r="F6" s="45" t="s">
        <v>10</v>
      </c>
      <c r="G6" s="45" t="s">
        <v>11</v>
      </c>
      <c r="I6" s="46"/>
    </row>
    <row r="7" spans="1:9" ht="29" x14ac:dyDescent="0.35">
      <c r="A7" s="20" t="s">
        <v>12</v>
      </c>
      <c r="B7" s="22" t="s">
        <v>15</v>
      </c>
      <c r="C7" s="21" t="s">
        <v>14</v>
      </c>
      <c r="D7" s="21" t="s">
        <v>14</v>
      </c>
      <c r="E7" s="21" t="s">
        <v>14</v>
      </c>
      <c r="F7" s="21" t="s">
        <v>14</v>
      </c>
      <c r="G7" s="21" t="s">
        <v>14</v>
      </c>
      <c r="H7" s="21" t="s">
        <v>16</v>
      </c>
      <c r="I7" s="47" t="s">
        <v>17</v>
      </c>
    </row>
    <row r="8" spans="1:9" ht="14.15" customHeight="1" x14ac:dyDescent="0.35">
      <c r="A8" s="23" t="s">
        <v>18</v>
      </c>
      <c r="B8" s="25"/>
      <c r="I8" s="27"/>
    </row>
    <row r="9" spans="1:9" ht="14.15" customHeight="1" x14ac:dyDescent="0.35">
      <c r="A9" s="14" t="s">
        <v>19</v>
      </c>
      <c r="B9" s="1" t="s">
        <v>21</v>
      </c>
      <c r="C9" s="26">
        <v>686974.97606027627</v>
      </c>
      <c r="D9" s="26">
        <v>703910</v>
      </c>
      <c r="E9" s="26">
        <v>703910</v>
      </c>
      <c r="F9" s="26">
        <v>703910</v>
      </c>
      <c r="G9" s="26">
        <v>703910</v>
      </c>
      <c r="H9" s="24" t="s">
        <v>22</v>
      </c>
      <c r="I9" s="27" t="s">
        <v>23</v>
      </c>
    </row>
    <row r="10" spans="1:9" ht="14.15" customHeight="1" x14ac:dyDescent="0.35">
      <c r="A10" s="14" t="s">
        <v>19</v>
      </c>
      <c r="B10" s="1" t="s">
        <v>21</v>
      </c>
      <c r="C10" s="26">
        <v>63563.768514521602</v>
      </c>
      <c r="D10" s="26">
        <v>62641</v>
      </c>
      <c r="E10" s="26">
        <v>62641</v>
      </c>
      <c r="F10" s="26">
        <v>62641</v>
      </c>
      <c r="G10" s="26">
        <v>62641</v>
      </c>
      <c r="H10" s="24" t="s">
        <v>24</v>
      </c>
      <c r="I10" s="27" t="s">
        <v>23</v>
      </c>
    </row>
    <row r="11" spans="1:9" ht="14.15" customHeight="1" x14ac:dyDescent="0.35">
      <c r="A11" s="14" t="s">
        <v>19</v>
      </c>
      <c r="B11" s="1" t="s">
        <v>21</v>
      </c>
      <c r="C11" s="26">
        <v>6123571.3399373423</v>
      </c>
      <c r="D11" s="26">
        <v>6492669</v>
      </c>
      <c r="E11" s="26">
        <v>6492669</v>
      </c>
      <c r="F11" s="26">
        <v>6492669</v>
      </c>
      <c r="G11" s="26">
        <v>6492669</v>
      </c>
      <c r="H11" s="24" t="s">
        <v>25</v>
      </c>
      <c r="I11" s="27" t="s">
        <v>23</v>
      </c>
    </row>
    <row r="12" spans="1:9" ht="14.15" customHeight="1" x14ac:dyDescent="0.35">
      <c r="A12" s="14" t="s">
        <v>26</v>
      </c>
      <c r="B12" s="1" t="s">
        <v>27</v>
      </c>
      <c r="C12" s="26">
        <v>-1351.3961377258283</v>
      </c>
      <c r="D12" s="26">
        <v>-1351.3961377258283</v>
      </c>
      <c r="E12" s="26">
        <v>-3564.7908969583245</v>
      </c>
      <c r="F12" s="26">
        <v>-3564.7908969583245</v>
      </c>
      <c r="G12" s="26">
        <v>-3564.7908969583245</v>
      </c>
      <c r="H12" s="24" t="s">
        <v>22</v>
      </c>
      <c r="I12" s="27" t="s">
        <v>28</v>
      </c>
    </row>
    <row r="13" spans="1:9" ht="14.15" customHeight="1" x14ac:dyDescent="0.35">
      <c r="A13" s="14" t="s">
        <v>26</v>
      </c>
      <c r="B13" s="1" t="s">
        <v>27</v>
      </c>
      <c r="C13" s="26"/>
      <c r="D13" s="26"/>
      <c r="E13" s="26">
        <v>2213.3947592324962</v>
      </c>
      <c r="F13" s="26">
        <v>2213.3947592324962</v>
      </c>
      <c r="G13" s="26">
        <v>2213.3947592324962</v>
      </c>
      <c r="H13" s="24" t="s">
        <v>24</v>
      </c>
      <c r="I13" s="27" t="s">
        <v>28</v>
      </c>
    </row>
    <row r="14" spans="1:9" ht="14.15" customHeight="1" x14ac:dyDescent="0.35">
      <c r="A14" s="14" t="s">
        <v>26</v>
      </c>
      <c r="B14" s="1" t="s">
        <v>27</v>
      </c>
      <c r="C14" s="26">
        <v>322769.66090968653</v>
      </c>
      <c r="D14" s="26">
        <v>322298.97490968654</v>
      </c>
      <c r="E14" s="26">
        <v>322298.97490968654</v>
      </c>
      <c r="F14" s="26">
        <v>322298.97490968654</v>
      </c>
      <c r="G14" s="26">
        <v>322298.97490968654</v>
      </c>
      <c r="H14" s="24" t="s">
        <v>25</v>
      </c>
      <c r="I14" s="27" t="s">
        <v>28</v>
      </c>
    </row>
    <row r="15" spans="1:9" ht="13.75" customHeight="1" x14ac:dyDescent="0.35">
      <c r="A15" s="14" t="s">
        <v>29</v>
      </c>
      <c r="B15" s="1" t="s">
        <v>20</v>
      </c>
      <c r="C15" s="26">
        <v>-11261</v>
      </c>
      <c r="D15" s="26">
        <v>-11261</v>
      </c>
      <c r="E15" s="26">
        <v>-11261</v>
      </c>
      <c r="F15" s="26">
        <v>-11261</v>
      </c>
      <c r="G15" s="26">
        <v>-11261</v>
      </c>
      <c r="H15" s="24" t="s">
        <v>25</v>
      </c>
      <c r="I15" s="27" t="s">
        <v>23</v>
      </c>
    </row>
    <row r="16" spans="1:9" ht="14.15" hidden="1" customHeight="1" x14ac:dyDescent="0.35">
      <c r="A16" s="14" t="s">
        <v>30</v>
      </c>
      <c r="B16" s="1" t="s">
        <v>20</v>
      </c>
      <c r="C16" s="26">
        <v>11769.759988915252</v>
      </c>
      <c r="D16" s="26">
        <v>6602.306107859029</v>
      </c>
      <c r="E16" s="26">
        <v>6602.306107859029</v>
      </c>
      <c r="F16" s="26">
        <v>6602.306107859029</v>
      </c>
      <c r="G16" s="26">
        <v>6602.306107859029</v>
      </c>
      <c r="H16" s="24" t="s">
        <v>25</v>
      </c>
      <c r="I16" s="27" t="s">
        <v>28</v>
      </c>
    </row>
    <row r="17" spans="1:10" ht="14.15" customHeight="1" x14ac:dyDescent="0.35">
      <c r="A17" s="14" t="s">
        <v>31</v>
      </c>
      <c r="B17" s="1" t="s">
        <v>32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4" t="s">
        <v>22</v>
      </c>
      <c r="I17" s="27" t="s">
        <v>28</v>
      </c>
    </row>
    <row r="18" spans="1:10" ht="14.15" customHeight="1" x14ac:dyDescent="0.35">
      <c r="A18" s="14" t="s">
        <v>31</v>
      </c>
      <c r="B18" s="1" t="s">
        <v>32</v>
      </c>
      <c r="C18" s="26"/>
      <c r="D18" s="26">
        <v>19174.554547853812</v>
      </c>
      <c r="E18" s="26">
        <v>19174.554547853812</v>
      </c>
      <c r="F18" s="26">
        <v>19174.554547853812</v>
      </c>
      <c r="G18" s="26">
        <v>19174.554547853812</v>
      </c>
      <c r="H18" s="24" t="s">
        <v>25</v>
      </c>
      <c r="I18" s="27" t="s">
        <v>28</v>
      </c>
    </row>
    <row r="19" spans="1:10" ht="14.15" customHeight="1" x14ac:dyDescent="0.35">
      <c r="A19" s="14" t="s">
        <v>33</v>
      </c>
      <c r="B19" s="1" t="s">
        <v>20</v>
      </c>
      <c r="C19" s="26">
        <v>-8394.8200043287161</v>
      </c>
      <c r="D19" s="26">
        <v>-8394.8200043287161</v>
      </c>
      <c r="E19" s="26">
        <v>-5445.8638904927429</v>
      </c>
      <c r="F19" s="26">
        <v>-5445.8638904927429</v>
      </c>
      <c r="G19" s="26">
        <v>-5445.8638904927429</v>
      </c>
      <c r="H19" s="24" t="s">
        <v>22</v>
      </c>
      <c r="I19" s="27" t="s">
        <v>28</v>
      </c>
    </row>
    <row r="20" spans="1:10" ht="14.15" customHeight="1" x14ac:dyDescent="0.35">
      <c r="A20" s="14" t="s">
        <v>33</v>
      </c>
      <c r="B20" s="1" t="s">
        <v>20</v>
      </c>
      <c r="C20" s="26">
        <v>-37916.194189407586</v>
      </c>
      <c r="D20" s="26">
        <v>-18772.983975755837</v>
      </c>
      <c r="E20" s="26">
        <v>-18772.983975755837</v>
      </c>
      <c r="F20" s="26">
        <v>-18772.983975755837</v>
      </c>
      <c r="G20" s="26">
        <v>-18772.983975755837</v>
      </c>
      <c r="H20" s="24" t="s">
        <v>25</v>
      </c>
      <c r="I20" s="27" t="s">
        <v>28</v>
      </c>
    </row>
    <row r="21" spans="1:10" ht="14.15" customHeight="1" x14ac:dyDescent="0.35">
      <c r="A21" s="28" t="s">
        <v>34</v>
      </c>
      <c r="B21" s="1" t="s">
        <v>35</v>
      </c>
      <c r="C21" s="26">
        <v>3561640.5481292848</v>
      </c>
      <c r="D21" s="26">
        <v>3561640.5481292848</v>
      </c>
      <c r="E21" s="26">
        <v>3761184.5612435751</v>
      </c>
      <c r="F21" s="26">
        <v>3778330</v>
      </c>
      <c r="G21" s="26">
        <v>3778330</v>
      </c>
      <c r="H21" s="24" t="s">
        <v>22</v>
      </c>
      <c r="I21" s="27" t="s">
        <v>23</v>
      </c>
    </row>
    <row r="22" spans="1:10" ht="14.15" customHeight="1" x14ac:dyDescent="0.35">
      <c r="A22" s="28" t="s">
        <v>34</v>
      </c>
      <c r="B22" s="1" t="s">
        <v>35</v>
      </c>
      <c r="C22" s="26">
        <v>710233.44568007241</v>
      </c>
      <c r="D22" s="26">
        <v>710233.44568007241</v>
      </c>
      <c r="E22" s="26">
        <v>607823</v>
      </c>
      <c r="F22" s="26">
        <v>607823</v>
      </c>
      <c r="G22" s="26">
        <v>607823</v>
      </c>
      <c r="H22" s="24" t="s">
        <v>24</v>
      </c>
      <c r="I22" s="27" t="s">
        <v>23</v>
      </c>
    </row>
    <row r="23" spans="1:10" ht="14.15" customHeight="1" x14ac:dyDescent="0.35">
      <c r="A23" s="28" t="s">
        <v>36</v>
      </c>
      <c r="B23" s="1" t="s">
        <v>35</v>
      </c>
      <c r="C23" s="26">
        <v>3359.0568264271756</v>
      </c>
      <c r="D23" s="26">
        <v>3359.0568264271756</v>
      </c>
      <c r="E23" s="26">
        <v>69333.29532174411</v>
      </c>
      <c r="F23" s="26">
        <v>69333.29532174411</v>
      </c>
      <c r="G23" s="26">
        <v>69333.29532174411</v>
      </c>
      <c r="H23" s="24" t="s">
        <v>24</v>
      </c>
      <c r="I23" s="27" t="s">
        <v>28</v>
      </c>
    </row>
    <row r="24" spans="1:10" ht="14.15" customHeight="1" x14ac:dyDescent="0.35">
      <c r="A24" s="28" t="s">
        <v>34</v>
      </c>
      <c r="B24" s="1" t="s">
        <v>35</v>
      </c>
      <c r="C24" s="26">
        <v>-330882</v>
      </c>
      <c r="D24" s="26">
        <v>-330882</v>
      </c>
      <c r="E24" s="26">
        <v>-647824</v>
      </c>
      <c r="F24" s="26">
        <v>-647824</v>
      </c>
      <c r="G24" s="26">
        <v>-647824</v>
      </c>
      <c r="H24" s="24" t="s">
        <v>37</v>
      </c>
      <c r="I24" s="27" t="s">
        <v>23</v>
      </c>
    </row>
    <row r="25" spans="1:10" ht="14.15" customHeight="1" x14ac:dyDescent="0.35">
      <c r="A25" s="28" t="s">
        <v>34</v>
      </c>
      <c r="B25" s="1" t="s">
        <v>35</v>
      </c>
      <c r="C25" s="26">
        <v>4532</v>
      </c>
      <c r="D25" s="26">
        <v>4532</v>
      </c>
      <c r="E25" s="26">
        <v>4648</v>
      </c>
      <c r="F25" s="26">
        <v>4648</v>
      </c>
      <c r="G25" s="26">
        <v>4648</v>
      </c>
      <c r="H25" s="24" t="s">
        <v>38</v>
      </c>
      <c r="I25" s="27" t="s">
        <v>23</v>
      </c>
    </row>
    <row r="26" spans="1:10" ht="14.15" customHeight="1" x14ac:dyDescent="0.35">
      <c r="A26" s="28" t="s">
        <v>34</v>
      </c>
      <c r="B26" s="1" t="s">
        <v>35</v>
      </c>
      <c r="C26" s="26">
        <v>27696</v>
      </c>
      <c r="D26" s="26">
        <v>27696</v>
      </c>
      <c r="E26" s="26">
        <v>25298</v>
      </c>
      <c r="F26" s="26">
        <v>25298</v>
      </c>
      <c r="G26" s="26">
        <v>25298</v>
      </c>
      <c r="H26" s="24" t="s">
        <v>25</v>
      </c>
      <c r="I26" s="27" t="s">
        <v>23</v>
      </c>
    </row>
    <row r="27" spans="1:10" ht="14.15" customHeight="1" x14ac:dyDescent="0.35">
      <c r="A27" s="28" t="s">
        <v>34</v>
      </c>
      <c r="B27" s="1" t="s">
        <v>35</v>
      </c>
      <c r="C27" s="26">
        <v>83781</v>
      </c>
      <c r="D27" s="26">
        <v>83781</v>
      </c>
      <c r="E27" s="26">
        <v>70144</v>
      </c>
      <c r="F27" s="26">
        <v>70144</v>
      </c>
      <c r="G27" s="26">
        <v>70144</v>
      </c>
      <c r="H27" s="24" t="s">
        <v>39</v>
      </c>
      <c r="I27" s="27" t="s">
        <v>23</v>
      </c>
    </row>
    <row r="28" spans="1:10" ht="14.15" customHeight="1" x14ac:dyDescent="0.35">
      <c r="A28" s="28" t="s">
        <v>40</v>
      </c>
      <c r="B28" s="1" t="s">
        <v>35</v>
      </c>
      <c r="C28" s="26">
        <v>6046.2551851979697</v>
      </c>
      <c r="D28" s="26">
        <v>6046.2551851979697</v>
      </c>
      <c r="E28" s="26">
        <v>-48197.667760599841</v>
      </c>
      <c r="F28" s="26">
        <v>-48197.667760599841</v>
      </c>
      <c r="G28" s="26">
        <v>-48197.667760599841</v>
      </c>
      <c r="H28" s="24" t="s">
        <v>39</v>
      </c>
      <c r="I28" s="27" t="s">
        <v>28</v>
      </c>
    </row>
    <row r="29" spans="1:10" ht="14.15" customHeight="1" x14ac:dyDescent="0.35">
      <c r="A29" s="28" t="s">
        <v>41</v>
      </c>
      <c r="B29" s="1" t="s">
        <v>35</v>
      </c>
      <c r="C29" s="26">
        <v>462137.65673589351</v>
      </c>
      <c r="D29" s="26">
        <v>462137.65673589351</v>
      </c>
      <c r="E29" s="26">
        <v>557194.0704287379</v>
      </c>
      <c r="F29" s="26">
        <v>540048.63167231309</v>
      </c>
      <c r="G29" s="26">
        <v>540048.63167231309</v>
      </c>
      <c r="H29" s="14" t="s">
        <v>22</v>
      </c>
      <c r="I29" s="27" t="s">
        <v>28</v>
      </c>
      <c r="J29" s="41"/>
    </row>
    <row r="30" spans="1:10" ht="14.15" customHeight="1" x14ac:dyDescent="0.35">
      <c r="A30" s="14" t="s">
        <v>42</v>
      </c>
      <c r="B30" s="1" t="s">
        <v>35</v>
      </c>
      <c r="C30" s="26"/>
      <c r="D30" s="26"/>
      <c r="E30" s="26">
        <v>3855.5164676486602</v>
      </c>
      <c r="F30" s="26">
        <v>3855.5164676486602</v>
      </c>
      <c r="G30" s="26">
        <v>3855.5164676486602</v>
      </c>
      <c r="H30" s="24" t="s">
        <v>39</v>
      </c>
      <c r="I30" s="27" t="s">
        <v>23</v>
      </c>
      <c r="J30" s="41"/>
    </row>
    <row r="31" spans="1:10" ht="14.15" customHeight="1" x14ac:dyDescent="0.35">
      <c r="A31" s="14" t="s">
        <v>44</v>
      </c>
      <c r="B31" s="1" t="s">
        <v>45</v>
      </c>
      <c r="C31" s="26">
        <v>16062</v>
      </c>
      <c r="D31" s="26">
        <v>0</v>
      </c>
      <c r="E31" s="26">
        <v>0</v>
      </c>
      <c r="F31" s="26">
        <v>0</v>
      </c>
      <c r="G31" s="26">
        <v>0</v>
      </c>
      <c r="H31" s="14" t="s">
        <v>25</v>
      </c>
      <c r="I31" s="27" t="s">
        <v>23</v>
      </c>
    </row>
    <row r="32" spans="1:10" ht="14.15" customHeight="1" x14ac:dyDescent="0.35">
      <c r="A32" s="14" t="s">
        <v>43</v>
      </c>
      <c r="B32" s="1" t="s">
        <v>46</v>
      </c>
      <c r="C32" s="26">
        <v>12105.671471749103</v>
      </c>
      <c r="D32" s="26">
        <v>-5204.401779759055</v>
      </c>
      <c r="E32" s="26">
        <v>-5204.401779759055</v>
      </c>
      <c r="F32" s="26">
        <v>-5204.401779759055</v>
      </c>
      <c r="G32" s="26">
        <v>-5204.401779759055</v>
      </c>
      <c r="H32" s="14" t="s">
        <v>22</v>
      </c>
      <c r="I32" s="27" t="s">
        <v>28</v>
      </c>
    </row>
    <row r="33" spans="1:9" ht="14.15" customHeight="1" x14ac:dyDescent="0.35">
      <c r="A33" s="14" t="s">
        <v>48</v>
      </c>
      <c r="B33" s="1" t="s">
        <v>46</v>
      </c>
      <c r="C33" s="26">
        <v>121079.3001893608</v>
      </c>
      <c r="D33" s="26">
        <v>159282.49303614171</v>
      </c>
      <c r="E33" s="26">
        <v>159282.49303614171</v>
      </c>
      <c r="F33" s="26">
        <v>159282.49303614171</v>
      </c>
      <c r="G33" s="26">
        <v>159282.49303614171</v>
      </c>
      <c r="H33" s="14" t="s">
        <v>25</v>
      </c>
      <c r="I33" s="27" t="s">
        <v>28</v>
      </c>
    </row>
    <row r="34" spans="1:9" ht="14.15" customHeight="1" x14ac:dyDescent="0.35">
      <c r="A34" s="14" t="s">
        <v>47</v>
      </c>
      <c r="B34" s="1" t="s">
        <v>46</v>
      </c>
      <c r="C34" s="26">
        <v>-47599.218024135829</v>
      </c>
      <c r="D34" s="26">
        <v>3230.0249812341499</v>
      </c>
      <c r="E34" s="26">
        <v>3230.0249812341499</v>
      </c>
      <c r="F34" s="26">
        <v>3230.0249812341499</v>
      </c>
      <c r="G34" s="26">
        <v>3230.0249812341499</v>
      </c>
      <c r="H34" s="14" t="s">
        <v>25</v>
      </c>
      <c r="I34" s="27" t="s">
        <v>28</v>
      </c>
    </row>
    <row r="35" spans="1:9" ht="14.15" customHeight="1" x14ac:dyDescent="0.35">
      <c r="A35" s="14" t="s">
        <v>49</v>
      </c>
      <c r="B35" s="1" t="s">
        <v>46</v>
      </c>
      <c r="C35" s="26">
        <v>106384.05653790027</v>
      </c>
      <c r="D35" s="26">
        <v>19854.495574212935</v>
      </c>
      <c r="E35" s="26">
        <v>-8951.3608759825784</v>
      </c>
      <c r="F35" s="26">
        <v>-8951.3608759825784</v>
      </c>
      <c r="G35" s="26">
        <v>-8951.3608759825784</v>
      </c>
      <c r="H35" s="14" t="s">
        <v>25</v>
      </c>
      <c r="I35" s="27" t="s">
        <v>28</v>
      </c>
    </row>
    <row r="36" spans="1:9" ht="14.15" customHeight="1" x14ac:dyDescent="0.35">
      <c r="A36" s="14" t="s">
        <v>50</v>
      </c>
      <c r="B36" s="1" t="s">
        <v>51</v>
      </c>
      <c r="C36" s="26">
        <v>-26723.972951703188</v>
      </c>
      <c r="D36" s="26">
        <v>26425.485903796871</v>
      </c>
      <c r="E36" s="26">
        <v>41729.766552047193</v>
      </c>
      <c r="F36" s="26">
        <v>41729.766552047193</v>
      </c>
      <c r="G36" s="26">
        <v>41729.766552047193</v>
      </c>
      <c r="H36" s="24" t="s">
        <v>39</v>
      </c>
      <c r="I36" s="27" t="s">
        <v>28</v>
      </c>
    </row>
    <row r="37" spans="1:9" ht="14.15" customHeight="1" x14ac:dyDescent="0.35">
      <c r="A37" s="14" t="s">
        <v>52</v>
      </c>
      <c r="B37" s="1" t="s">
        <v>53</v>
      </c>
      <c r="C37" s="26">
        <v>45045.249659999994</v>
      </c>
      <c r="D37" s="26">
        <v>20765.627799086702</v>
      </c>
      <c r="E37" s="26">
        <v>20765.627799086702</v>
      </c>
      <c r="F37" s="26">
        <v>20765.627799086702</v>
      </c>
      <c r="G37" s="48">
        <v>0</v>
      </c>
      <c r="H37" s="24" t="s">
        <v>39</v>
      </c>
      <c r="I37" s="27" t="s">
        <v>28</v>
      </c>
    </row>
    <row r="38" spans="1:9" ht="14.15" customHeight="1" x14ac:dyDescent="0.35">
      <c r="A38" s="29" t="s">
        <v>54</v>
      </c>
      <c r="B38" s="1" t="s">
        <v>55</v>
      </c>
      <c r="C38" s="26">
        <v>2190</v>
      </c>
      <c r="D38" s="26">
        <v>2189.2149060761076</v>
      </c>
      <c r="E38" s="26">
        <v>2189.2149060761076</v>
      </c>
      <c r="F38" s="26">
        <v>2189.2149060761076</v>
      </c>
      <c r="G38" s="26">
        <v>2189.2149060761076</v>
      </c>
      <c r="H38" s="14" t="s">
        <v>22</v>
      </c>
      <c r="I38" s="27" t="s">
        <v>23</v>
      </c>
    </row>
    <row r="39" spans="1:9" ht="14.15" customHeight="1" x14ac:dyDescent="0.35">
      <c r="A39" s="29" t="s">
        <v>54</v>
      </c>
      <c r="B39" s="1" t="s">
        <v>56</v>
      </c>
      <c r="C39" s="26">
        <v>4680</v>
      </c>
      <c r="D39" s="26">
        <v>4676.7293028184749</v>
      </c>
      <c r="E39" s="26">
        <v>6656.6289730711396</v>
      </c>
      <c r="F39" s="26">
        <v>6656.6289730711396</v>
      </c>
      <c r="G39" s="26">
        <v>6656.6289730711396</v>
      </c>
      <c r="H39" s="14" t="s">
        <v>25</v>
      </c>
      <c r="I39" s="27" t="s">
        <v>23</v>
      </c>
    </row>
    <row r="40" spans="1:9" ht="14.15" customHeight="1" x14ac:dyDescent="0.35">
      <c r="A40" s="29" t="s">
        <v>54</v>
      </c>
      <c r="B40" s="1" t="s">
        <v>56</v>
      </c>
      <c r="C40" s="26">
        <v>5460</v>
      </c>
      <c r="D40" s="26">
        <v>5460</v>
      </c>
      <c r="E40" s="26">
        <v>10010.728669816845</v>
      </c>
      <c r="F40" s="26">
        <v>10010.728669816845</v>
      </c>
      <c r="G40" s="26">
        <v>10010.728669816845</v>
      </c>
      <c r="H40" s="24" t="s">
        <v>39</v>
      </c>
      <c r="I40" s="27" t="s">
        <v>23</v>
      </c>
    </row>
    <row r="41" spans="1:9" ht="14.15" customHeight="1" x14ac:dyDescent="0.35">
      <c r="A41" s="29" t="s">
        <v>57</v>
      </c>
      <c r="B41" s="1" t="s">
        <v>58</v>
      </c>
      <c r="C41" s="26"/>
      <c r="D41" s="26"/>
      <c r="E41" s="26">
        <v>84906</v>
      </c>
      <c r="F41" s="26">
        <v>84906</v>
      </c>
      <c r="G41" s="26">
        <v>84906</v>
      </c>
      <c r="H41" s="14" t="s">
        <v>25</v>
      </c>
      <c r="I41" s="27" t="s">
        <v>23</v>
      </c>
    </row>
    <row r="42" spans="1:9" ht="14.15" customHeight="1" x14ac:dyDescent="0.35">
      <c r="A42" s="29" t="s">
        <v>59</v>
      </c>
      <c r="B42" s="1" t="s">
        <v>60</v>
      </c>
      <c r="C42" s="26">
        <v>-9700</v>
      </c>
      <c r="D42" s="26">
        <v>0</v>
      </c>
      <c r="E42" s="26">
        <v>0</v>
      </c>
      <c r="F42" s="26">
        <v>0</v>
      </c>
      <c r="G42" s="26">
        <v>0</v>
      </c>
      <c r="H42" s="14" t="s">
        <v>25</v>
      </c>
      <c r="I42" s="27" t="s">
        <v>23</v>
      </c>
    </row>
    <row r="43" spans="1:9" ht="14.15" customHeight="1" x14ac:dyDescent="0.35">
      <c r="A43" s="29" t="s">
        <v>61</v>
      </c>
      <c r="B43" s="1" t="s">
        <v>62</v>
      </c>
      <c r="C43" s="26"/>
      <c r="D43" s="26"/>
      <c r="E43" s="26">
        <v>135161.69012109609</v>
      </c>
      <c r="F43" s="26">
        <v>135161.69012109609</v>
      </c>
      <c r="G43" s="26">
        <v>135161.69012109609</v>
      </c>
      <c r="H43" s="14" t="s">
        <v>25</v>
      </c>
      <c r="I43" s="27" t="s">
        <v>23</v>
      </c>
    </row>
    <row r="44" spans="1:9" ht="14.15" customHeight="1" x14ac:dyDescent="0.35">
      <c r="A44" s="29" t="s">
        <v>63</v>
      </c>
      <c r="B44" s="1" t="s">
        <v>64</v>
      </c>
      <c r="C44" s="26"/>
      <c r="D44" s="26"/>
      <c r="E44" s="26"/>
      <c r="F44" s="26"/>
      <c r="G44" s="26">
        <v>135415.57954872175</v>
      </c>
      <c r="H44" s="14" t="s">
        <v>25</v>
      </c>
      <c r="I44" s="27" t="s">
        <v>23</v>
      </c>
    </row>
    <row r="45" spans="1:9" ht="14.15" customHeight="1" x14ac:dyDescent="0.35">
      <c r="A45" s="29" t="s">
        <v>65</v>
      </c>
      <c r="B45" s="1" t="s">
        <v>66</v>
      </c>
      <c r="C45" s="26"/>
      <c r="D45" s="26"/>
      <c r="E45" s="26"/>
      <c r="F45" s="26"/>
      <c r="G45" s="26">
        <v>26556.155303815507</v>
      </c>
      <c r="H45" s="14" t="s">
        <v>25</v>
      </c>
      <c r="I45" s="27" t="s">
        <v>23</v>
      </c>
    </row>
    <row r="46" spans="1:9" ht="14.15" customHeight="1" x14ac:dyDescent="0.35">
      <c r="A46" s="29" t="s">
        <v>67</v>
      </c>
      <c r="B46" s="1" t="s">
        <v>68</v>
      </c>
      <c r="C46" s="26"/>
      <c r="D46" s="26"/>
      <c r="E46" s="26"/>
      <c r="F46" s="26"/>
      <c r="G46" s="26">
        <v>119343.20661840618</v>
      </c>
      <c r="H46" s="14" t="s">
        <v>25</v>
      </c>
      <c r="I46" s="27" t="s">
        <v>23</v>
      </c>
    </row>
    <row r="47" spans="1:9" ht="14.15" customHeight="1" x14ac:dyDescent="0.35">
      <c r="A47" s="29" t="s">
        <v>69</v>
      </c>
      <c r="B47" s="1" t="s">
        <v>70</v>
      </c>
      <c r="C47" s="26">
        <v>-21627.315999999999</v>
      </c>
      <c r="D47" s="26">
        <v>0</v>
      </c>
      <c r="E47" s="26">
        <v>0</v>
      </c>
      <c r="F47" s="26">
        <v>0</v>
      </c>
      <c r="G47" s="26">
        <v>0</v>
      </c>
      <c r="H47" s="14" t="s">
        <v>25</v>
      </c>
      <c r="I47" s="27" t="s">
        <v>23</v>
      </c>
    </row>
    <row r="48" spans="1:9" ht="14.15" customHeight="1" x14ac:dyDescent="0.35">
      <c r="A48" s="29" t="s">
        <v>71</v>
      </c>
      <c r="B48" s="1" t="s">
        <v>72</v>
      </c>
      <c r="C48" s="26">
        <v>25926.022830939401</v>
      </c>
      <c r="D48" s="26">
        <v>11737.630855592281</v>
      </c>
      <c r="E48" s="26">
        <v>11737.630855592281</v>
      </c>
      <c r="F48" s="26">
        <v>11737.630855592281</v>
      </c>
      <c r="G48" s="26">
        <v>11737.630855592281</v>
      </c>
      <c r="H48" s="14" t="s">
        <v>25</v>
      </c>
      <c r="I48" s="27" t="s">
        <v>23</v>
      </c>
    </row>
    <row r="49" spans="1:9" ht="14.15" customHeight="1" x14ac:dyDescent="0.35">
      <c r="A49" s="29" t="s">
        <v>73</v>
      </c>
      <c r="B49" s="1" t="s">
        <v>74</v>
      </c>
      <c r="C49" s="26">
        <v>252500</v>
      </c>
      <c r="D49" s="26">
        <v>0</v>
      </c>
      <c r="E49" s="26">
        <v>0</v>
      </c>
      <c r="F49" s="26">
        <v>0</v>
      </c>
      <c r="G49" s="26">
        <v>0</v>
      </c>
      <c r="H49" s="14" t="s">
        <v>25</v>
      </c>
      <c r="I49" s="27" t="s">
        <v>23</v>
      </c>
    </row>
    <row r="50" spans="1:9" ht="14.15" customHeight="1" x14ac:dyDescent="0.35">
      <c r="A50" s="29" t="s">
        <v>75</v>
      </c>
      <c r="B50" s="2" t="s">
        <v>76</v>
      </c>
      <c r="C50" s="26">
        <v>83310.489000000001</v>
      </c>
      <c r="D50" s="26">
        <v>0</v>
      </c>
      <c r="E50" s="26">
        <v>0</v>
      </c>
      <c r="F50" s="26">
        <v>0</v>
      </c>
      <c r="G50" s="26">
        <v>0</v>
      </c>
      <c r="H50" s="14" t="s">
        <v>25</v>
      </c>
      <c r="I50" s="27" t="s">
        <v>23</v>
      </c>
    </row>
    <row r="51" spans="1:9" x14ac:dyDescent="0.35">
      <c r="A51" s="14" t="s">
        <v>78</v>
      </c>
      <c r="B51" s="2" t="s">
        <v>79</v>
      </c>
      <c r="C51" s="26">
        <v>19434.772000000001</v>
      </c>
      <c r="D51" s="26">
        <v>19434.772000000001</v>
      </c>
      <c r="E51" s="26">
        <v>19434.772000000001</v>
      </c>
      <c r="F51" s="26">
        <v>19434.772000000001</v>
      </c>
      <c r="G51" s="26">
        <v>19434.772000000001</v>
      </c>
      <c r="H51" s="24" t="s">
        <v>80</v>
      </c>
      <c r="I51" s="27" t="s">
        <v>23</v>
      </c>
    </row>
    <row r="52" spans="1:9" x14ac:dyDescent="0.35">
      <c r="A52" s="14" t="s">
        <v>81</v>
      </c>
      <c r="B52" s="2" t="s">
        <v>82</v>
      </c>
      <c r="C52" s="26"/>
      <c r="D52" s="26"/>
      <c r="E52" s="26"/>
      <c r="F52" s="26">
        <v>32030.696235864107</v>
      </c>
      <c r="G52" s="26">
        <v>32030.696235864107</v>
      </c>
      <c r="H52" s="24" t="s">
        <v>80</v>
      </c>
      <c r="I52" s="27" t="s">
        <v>23</v>
      </c>
    </row>
    <row r="53" spans="1:9" ht="14.15" customHeight="1" x14ac:dyDescent="0.35">
      <c r="A53" s="14" t="s">
        <v>83</v>
      </c>
      <c r="B53" s="2" t="s">
        <v>84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14" t="s">
        <v>25</v>
      </c>
      <c r="I53" s="27" t="s">
        <v>23</v>
      </c>
    </row>
    <row r="54" spans="1:9" ht="14.15" customHeight="1" x14ac:dyDescent="0.35">
      <c r="A54" s="23" t="s">
        <v>86</v>
      </c>
      <c r="B54" s="2"/>
      <c r="C54" s="26">
        <f t="shared" ref="C54:G54" si="0">SUM(C9:C53)</f>
        <v>12266797.112350265</v>
      </c>
      <c r="D54" s="26">
        <f t="shared" si="0"/>
        <v>12363911.670583665</v>
      </c>
      <c r="E54" s="26">
        <f t="shared" si="0"/>
        <v>12454872.182500951</v>
      </c>
      <c r="F54" s="26">
        <f t="shared" si="0"/>
        <v>12486902.878736814</v>
      </c>
      <c r="G54" s="26">
        <f t="shared" si="0"/>
        <v>12747452.192408672</v>
      </c>
      <c r="I54" s="27"/>
    </row>
    <row r="55" spans="1:9" ht="14.15" customHeight="1" x14ac:dyDescent="0.35">
      <c r="A55" s="23" t="s">
        <v>85</v>
      </c>
      <c r="B55" s="2"/>
      <c r="C55" s="26"/>
      <c r="D55" s="26"/>
      <c r="E55" s="26"/>
      <c r="F55" s="26"/>
      <c r="G55" s="26"/>
      <c r="I55" s="27"/>
    </row>
    <row r="56" spans="1:9" ht="14.15" customHeight="1" x14ac:dyDescent="0.35">
      <c r="A56" s="14" t="s">
        <v>87</v>
      </c>
      <c r="B56" s="2" t="s">
        <v>89</v>
      </c>
      <c r="C56" s="26">
        <v>-6721.9388999999937</v>
      </c>
      <c r="D56" s="26">
        <v>22071.243613755287</v>
      </c>
      <c r="E56" s="26">
        <v>22071.243613755287</v>
      </c>
      <c r="F56" s="26">
        <v>22357.408887852056</v>
      </c>
      <c r="G56" s="26">
        <v>22357.408887852056</v>
      </c>
      <c r="H56" s="24" t="s">
        <v>25</v>
      </c>
      <c r="I56" s="27" t="s">
        <v>23</v>
      </c>
    </row>
    <row r="57" spans="1:9" ht="14.15" customHeight="1" x14ac:dyDescent="0.35">
      <c r="A57" s="14" t="s">
        <v>87</v>
      </c>
      <c r="B57" s="2" t="s">
        <v>88</v>
      </c>
      <c r="C57" s="26">
        <v>4996.30104811812</v>
      </c>
      <c r="D57" s="26">
        <v>5987.2246923217717</v>
      </c>
      <c r="E57" s="26">
        <v>5987.2246923217717</v>
      </c>
      <c r="F57" s="26">
        <v>5987.2246923217717</v>
      </c>
      <c r="G57" s="26">
        <v>5987.2246923217717</v>
      </c>
      <c r="H57" s="24" t="s">
        <v>22</v>
      </c>
      <c r="I57" s="27" t="s">
        <v>23</v>
      </c>
    </row>
    <row r="58" spans="1:9" ht="14.15" customHeight="1" x14ac:dyDescent="0.35">
      <c r="A58" s="14" t="s">
        <v>90</v>
      </c>
      <c r="B58" s="2" t="s">
        <v>91</v>
      </c>
      <c r="C58" s="26">
        <v>123058.31528016295</v>
      </c>
      <c r="D58" s="26">
        <v>123033.87772147726</v>
      </c>
      <c r="E58" s="26">
        <v>123033.87772147726</v>
      </c>
      <c r="F58" s="26">
        <v>318470.22516050027</v>
      </c>
      <c r="G58" s="26">
        <v>318470.22516050027</v>
      </c>
      <c r="H58" s="14" t="s">
        <v>39</v>
      </c>
      <c r="I58" s="27" t="s">
        <v>23</v>
      </c>
    </row>
    <row r="59" spans="1:9" ht="14.15" customHeight="1" x14ac:dyDescent="0.35">
      <c r="A59" s="14" t="s">
        <v>92</v>
      </c>
      <c r="B59" s="2" t="s">
        <v>93</v>
      </c>
      <c r="C59" s="26"/>
      <c r="D59" s="26"/>
      <c r="E59" s="26"/>
      <c r="F59" s="26">
        <v>13663.633449585868</v>
      </c>
      <c r="G59" s="26">
        <v>13663.633449585868</v>
      </c>
      <c r="H59" s="14" t="s">
        <v>39</v>
      </c>
      <c r="I59" s="27" t="s">
        <v>23</v>
      </c>
    </row>
    <row r="60" spans="1:9" ht="14.15" customHeight="1" x14ac:dyDescent="0.35">
      <c r="A60" s="14" t="s">
        <v>94</v>
      </c>
      <c r="B60" s="2" t="s">
        <v>95</v>
      </c>
      <c r="C60" s="26"/>
      <c r="D60" s="26"/>
      <c r="E60" s="26">
        <v>25700.148339297579</v>
      </c>
      <c r="F60" s="26">
        <v>25700.148339297579</v>
      </c>
      <c r="G60" s="26">
        <v>25700.148339297579</v>
      </c>
      <c r="H60" s="14" t="s">
        <v>39</v>
      </c>
      <c r="I60" s="27" t="s">
        <v>23</v>
      </c>
    </row>
    <row r="61" spans="1:9" ht="14.15" customHeight="1" x14ac:dyDescent="0.35">
      <c r="A61" s="14" t="s">
        <v>96</v>
      </c>
      <c r="B61" s="2" t="s">
        <v>97</v>
      </c>
      <c r="C61" s="26"/>
      <c r="D61" s="26"/>
      <c r="E61" s="26">
        <v>23524.88576140692</v>
      </c>
      <c r="F61" s="26">
        <v>23524.88576140692</v>
      </c>
      <c r="G61" s="26">
        <v>23524.88576140692</v>
      </c>
      <c r="H61" s="14" t="s">
        <v>39</v>
      </c>
      <c r="I61" s="27" t="s">
        <v>23</v>
      </c>
    </row>
    <row r="62" spans="1:9" ht="14.15" customHeight="1" x14ac:dyDescent="0.35">
      <c r="A62" s="14" t="s">
        <v>98</v>
      </c>
      <c r="B62" s="2" t="s">
        <v>99</v>
      </c>
      <c r="C62" s="26">
        <v>100698.55453271113</v>
      </c>
      <c r="D62" s="26">
        <v>100678.90233876913</v>
      </c>
      <c r="E62" s="26">
        <v>100678.90233876913</v>
      </c>
      <c r="F62" s="26">
        <v>88094.039167228708</v>
      </c>
      <c r="G62" s="26">
        <v>88094.039167228708</v>
      </c>
      <c r="H62" s="14" t="s">
        <v>39</v>
      </c>
      <c r="I62" s="27" t="s">
        <v>23</v>
      </c>
    </row>
    <row r="63" spans="1:9" ht="13.4" customHeight="1" x14ac:dyDescent="0.35">
      <c r="A63" s="14" t="s">
        <v>101</v>
      </c>
      <c r="B63" s="2" t="s">
        <v>102</v>
      </c>
      <c r="C63" s="26">
        <v>15285.366732</v>
      </c>
      <c r="D63" s="26">
        <v>19267</v>
      </c>
      <c r="E63" s="26">
        <v>19267</v>
      </c>
      <c r="F63" s="26">
        <v>19267</v>
      </c>
      <c r="G63" s="26">
        <v>19267</v>
      </c>
      <c r="H63" s="24" t="s">
        <v>25</v>
      </c>
      <c r="I63" s="27" t="s">
        <v>23</v>
      </c>
    </row>
    <row r="64" spans="1:9" ht="14.15" hidden="1" customHeight="1" x14ac:dyDescent="0.35">
      <c r="A64" s="14" t="s">
        <v>100</v>
      </c>
      <c r="B64" s="2"/>
      <c r="C64" s="26">
        <v>0</v>
      </c>
      <c r="D64" s="26"/>
      <c r="E64" s="26"/>
      <c r="F64" s="26"/>
      <c r="G64" s="26"/>
      <c r="H64" s="24" t="s">
        <v>25</v>
      </c>
      <c r="I64" s="27" t="s">
        <v>23</v>
      </c>
    </row>
    <row r="65" spans="1:9" ht="14.15" customHeight="1" x14ac:dyDescent="0.35">
      <c r="A65" s="29" t="s">
        <v>103</v>
      </c>
      <c r="B65" s="2" t="s">
        <v>104</v>
      </c>
      <c r="C65" s="26">
        <v>0</v>
      </c>
      <c r="D65" s="26">
        <v>59430.94164554133</v>
      </c>
      <c r="E65" s="26">
        <v>59430.94164554133</v>
      </c>
      <c r="F65" s="26">
        <v>59430.94164554133</v>
      </c>
      <c r="G65" s="26">
        <v>59430.94164554133</v>
      </c>
      <c r="H65" s="14" t="s">
        <v>39</v>
      </c>
      <c r="I65" s="27" t="s">
        <v>23</v>
      </c>
    </row>
    <row r="66" spans="1:9" ht="14.15" customHeight="1" x14ac:dyDescent="0.35">
      <c r="A66" s="29" t="s">
        <v>106</v>
      </c>
      <c r="B66" s="2" t="s">
        <v>104</v>
      </c>
      <c r="C66" s="26">
        <v>6607.5309999999999</v>
      </c>
      <c r="D66" s="26">
        <v>10221.59708536118</v>
      </c>
      <c r="E66" s="26">
        <v>10221.59708536118</v>
      </c>
      <c r="F66" s="26">
        <v>10221.59708536118</v>
      </c>
      <c r="G66" s="26">
        <v>10221.59708536118</v>
      </c>
      <c r="H66" s="14" t="s">
        <v>39</v>
      </c>
      <c r="I66" s="27" t="s">
        <v>23</v>
      </c>
    </row>
    <row r="67" spans="1:9" ht="14.15" customHeight="1" x14ac:dyDescent="0.35">
      <c r="A67" s="29" t="s">
        <v>105</v>
      </c>
      <c r="B67" s="2" t="s">
        <v>108</v>
      </c>
      <c r="C67" s="26">
        <v>8077.908785471699</v>
      </c>
      <c r="D67" s="26">
        <v>0</v>
      </c>
      <c r="E67" s="26">
        <v>0</v>
      </c>
      <c r="F67" s="26">
        <v>0</v>
      </c>
      <c r="G67" s="26">
        <v>0</v>
      </c>
      <c r="H67" s="14" t="s">
        <v>39</v>
      </c>
      <c r="I67" s="27" t="s">
        <v>23</v>
      </c>
    </row>
    <row r="68" spans="1:9" x14ac:dyDescent="0.35">
      <c r="A68" s="14" t="s">
        <v>107</v>
      </c>
      <c r="B68" s="2" t="s">
        <v>110</v>
      </c>
      <c r="C68" s="26">
        <v>61520</v>
      </c>
      <c r="D68" s="26">
        <v>61508.343790668587</v>
      </c>
      <c r="E68" s="26">
        <v>75098.362993066301</v>
      </c>
      <c r="F68" s="26">
        <v>75098.362993066301</v>
      </c>
      <c r="G68" s="26">
        <v>75098.362993066301</v>
      </c>
      <c r="H68" s="14" t="s">
        <v>39</v>
      </c>
      <c r="I68" s="27" t="s">
        <v>23</v>
      </c>
    </row>
    <row r="69" spans="1:9" x14ac:dyDescent="0.35">
      <c r="A69" s="14" t="s">
        <v>109</v>
      </c>
      <c r="B69" s="2" t="s">
        <v>112</v>
      </c>
      <c r="C69" s="26">
        <v>56637</v>
      </c>
      <c r="D69" s="26">
        <v>56626.343990883157</v>
      </c>
      <c r="E69" s="26">
        <v>56626.343990883157</v>
      </c>
      <c r="F69" s="26">
        <v>56626.343990883157</v>
      </c>
      <c r="G69" s="26">
        <v>56626.343990883157</v>
      </c>
      <c r="H69" s="14" t="s">
        <v>39</v>
      </c>
      <c r="I69" s="27" t="s">
        <v>23</v>
      </c>
    </row>
    <row r="70" spans="1:9" ht="15" customHeight="1" x14ac:dyDescent="0.35">
      <c r="A70" s="14" t="s">
        <v>111</v>
      </c>
      <c r="B70" s="2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4" t="s">
        <v>24</v>
      </c>
      <c r="I70" s="27" t="s">
        <v>23</v>
      </c>
    </row>
    <row r="71" spans="1:9" ht="15" customHeight="1" x14ac:dyDescent="0.35">
      <c r="A71" s="14" t="s">
        <v>113</v>
      </c>
      <c r="B71" s="2" t="s">
        <v>114</v>
      </c>
      <c r="C71" s="26">
        <v>9833.0789700000005</v>
      </c>
      <c r="D71" s="26">
        <v>12881</v>
      </c>
      <c r="E71" s="26">
        <v>12881</v>
      </c>
      <c r="F71" s="26">
        <v>12881</v>
      </c>
      <c r="G71" s="26">
        <v>12881</v>
      </c>
      <c r="H71" s="24" t="s">
        <v>25</v>
      </c>
      <c r="I71" s="27" t="s">
        <v>23</v>
      </c>
    </row>
    <row r="72" spans="1:9" ht="15" customHeight="1" x14ac:dyDescent="0.35">
      <c r="A72" s="14" t="s">
        <v>115</v>
      </c>
      <c r="B72" s="2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4" t="s">
        <v>25</v>
      </c>
      <c r="I72" s="27" t="s">
        <v>23</v>
      </c>
    </row>
    <row r="73" spans="1:9" x14ac:dyDescent="0.35">
      <c r="A73" s="14" t="s">
        <v>77</v>
      </c>
      <c r="B73" s="3" t="s">
        <v>116</v>
      </c>
      <c r="C73" s="30">
        <v>1407</v>
      </c>
      <c r="D73" s="30">
        <v>0</v>
      </c>
      <c r="E73" s="30">
        <v>0</v>
      </c>
      <c r="F73" s="30">
        <v>0</v>
      </c>
      <c r="G73" s="30">
        <v>0</v>
      </c>
      <c r="H73" s="31" t="s">
        <v>39</v>
      </c>
      <c r="I73" s="27" t="s">
        <v>23</v>
      </c>
    </row>
    <row r="74" spans="1:9" x14ac:dyDescent="0.35">
      <c r="A74" s="23" t="s">
        <v>118</v>
      </c>
      <c r="B74" s="2"/>
      <c r="C74" s="26">
        <f t="shared" ref="C74:G74" si="1">SUM(C56:C73)</f>
        <v>381399.11744846386</v>
      </c>
      <c r="D74" s="26">
        <f t="shared" si="1"/>
        <v>471706.47487877769</v>
      </c>
      <c r="E74" s="26">
        <f t="shared" si="1"/>
        <v>534521.5281818799</v>
      </c>
      <c r="F74" s="26">
        <f t="shared" si="1"/>
        <v>731322.81117304519</v>
      </c>
      <c r="G74" s="26">
        <f t="shared" si="1"/>
        <v>731322.81117304519</v>
      </c>
      <c r="I74" s="27"/>
    </row>
    <row r="75" spans="1:9" x14ac:dyDescent="0.35">
      <c r="A75" s="23" t="s">
        <v>117</v>
      </c>
      <c r="B75" s="2"/>
      <c r="C75" s="26"/>
      <c r="D75" s="26"/>
      <c r="E75" s="26"/>
      <c r="F75" s="26"/>
      <c r="G75" s="26"/>
      <c r="I75" s="27"/>
    </row>
    <row r="76" spans="1:9" x14ac:dyDescent="0.35">
      <c r="A76" s="14" t="s">
        <v>119</v>
      </c>
      <c r="B76" s="2"/>
      <c r="H76" s="14" t="s">
        <v>121</v>
      </c>
      <c r="I76" s="27" t="s">
        <v>23</v>
      </c>
    </row>
    <row r="77" spans="1:9" x14ac:dyDescent="0.35">
      <c r="A77" s="14" t="s">
        <v>122</v>
      </c>
      <c r="B77" s="2" t="s">
        <v>123</v>
      </c>
      <c r="F77" s="32">
        <v>-145519.42030802707</v>
      </c>
      <c r="G77" s="32">
        <v>-145519.42030802707</v>
      </c>
      <c r="H77" s="14" t="s">
        <v>121</v>
      </c>
      <c r="I77" s="27" t="s">
        <v>23</v>
      </c>
    </row>
    <row r="78" spans="1:9" x14ac:dyDescent="0.35">
      <c r="A78" s="14" t="s">
        <v>120</v>
      </c>
      <c r="B78" s="2" t="s">
        <v>125</v>
      </c>
      <c r="C78" s="26">
        <v>393138.01799999998</v>
      </c>
      <c r="D78" s="26">
        <v>441941.35800000001</v>
      </c>
      <c r="E78" s="26">
        <v>446976</v>
      </c>
      <c r="F78" s="26">
        <v>446976</v>
      </c>
      <c r="G78" s="26">
        <v>446976</v>
      </c>
      <c r="H78" s="14" t="s">
        <v>121</v>
      </c>
      <c r="I78" s="27" t="s">
        <v>23</v>
      </c>
    </row>
    <row r="79" spans="1:9" x14ac:dyDescent="0.35">
      <c r="A79" s="14" t="s">
        <v>124</v>
      </c>
      <c r="B79" s="2" t="s">
        <v>127</v>
      </c>
      <c r="C79" s="26">
        <v>1086755.987</v>
      </c>
      <c r="D79" s="26">
        <v>1412488.8840000001</v>
      </c>
      <c r="E79" s="26">
        <v>1412488.8840000001</v>
      </c>
      <c r="F79" s="26">
        <v>1412488.8840000001</v>
      </c>
      <c r="G79" s="26">
        <v>1412488.8840000001</v>
      </c>
      <c r="H79" s="31" t="s">
        <v>128</v>
      </c>
      <c r="I79" s="27" t="s">
        <v>23</v>
      </c>
    </row>
    <row r="80" spans="1:9" x14ac:dyDescent="0.35">
      <c r="A80" s="14" t="s">
        <v>126</v>
      </c>
      <c r="B80" s="2" t="s">
        <v>130</v>
      </c>
      <c r="C80" s="26">
        <v>-91246</v>
      </c>
      <c r="D80" s="26">
        <v>-112518</v>
      </c>
      <c r="E80" s="26">
        <f>D80</f>
        <v>-112518</v>
      </c>
      <c r="F80" s="26">
        <f>E80</f>
        <v>-112518</v>
      </c>
      <c r="G80" s="26">
        <f>F80</f>
        <v>-112518</v>
      </c>
      <c r="H80" s="14" t="s">
        <v>131</v>
      </c>
      <c r="I80" s="27" t="s">
        <v>28</v>
      </c>
    </row>
    <row r="81" spans="1:9" x14ac:dyDescent="0.35">
      <c r="A81" s="14" t="s">
        <v>129</v>
      </c>
      <c r="B81" s="2" t="s">
        <v>133</v>
      </c>
      <c r="C81" s="26">
        <v>-774</v>
      </c>
      <c r="D81" s="26">
        <v>-66884</v>
      </c>
      <c r="E81" s="26">
        <f t="shared" ref="E81:G82" si="2">D81</f>
        <v>-66884</v>
      </c>
      <c r="F81" s="26">
        <f t="shared" si="2"/>
        <v>-66884</v>
      </c>
      <c r="G81" s="26">
        <f t="shared" si="2"/>
        <v>-66884</v>
      </c>
      <c r="H81" s="14" t="s">
        <v>131</v>
      </c>
      <c r="I81" s="27" t="s">
        <v>28</v>
      </c>
    </row>
    <row r="82" spans="1:9" x14ac:dyDescent="0.35">
      <c r="A82" s="14" t="s">
        <v>132</v>
      </c>
      <c r="B82" s="3" t="s">
        <v>135</v>
      </c>
      <c r="C82" s="30">
        <v>258289.99999999997</v>
      </c>
      <c r="D82" s="30">
        <v>258297</v>
      </c>
      <c r="E82" s="30">
        <f t="shared" si="2"/>
        <v>258297</v>
      </c>
      <c r="F82" s="30">
        <v>156958.16999999998</v>
      </c>
      <c r="G82" s="30">
        <v>156958.16999999998</v>
      </c>
      <c r="H82" s="14" t="s">
        <v>131</v>
      </c>
      <c r="I82" s="27" t="s">
        <v>28</v>
      </c>
    </row>
    <row r="83" spans="1:9" x14ac:dyDescent="0.35">
      <c r="A83" s="23" t="s">
        <v>136</v>
      </c>
      <c r="B83" s="2"/>
      <c r="C83" s="26">
        <v>1646164.0049999999</v>
      </c>
      <c r="D83" s="26">
        <f>SUM(D78:D82)</f>
        <v>1933325.2420000001</v>
      </c>
      <c r="E83" s="26">
        <f>SUM(E78:E82)</f>
        <v>1938359.8840000001</v>
      </c>
      <c r="F83" s="26">
        <f>SUM(F77:F82)</f>
        <v>1691501.6336919731</v>
      </c>
      <c r="G83" s="26">
        <f>SUM(G77:G82)</f>
        <v>1691501.6336919731</v>
      </c>
      <c r="I83" s="27"/>
    </row>
    <row r="84" spans="1:9" x14ac:dyDescent="0.35">
      <c r="A84" s="14" t="s">
        <v>137</v>
      </c>
      <c r="B84" s="2"/>
      <c r="C84" s="26">
        <v>100182.76671373259</v>
      </c>
      <c r="D84" s="26">
        <v>100182.76671373259</v>
      </c>
      <c r="E84" s="26">
        <v>100182.76671373259</v>
      </c>
      <c r="F84" s="26">
        <v>100182.76671373259</v>
      </c>
      <c r="G84" s="26">
        <v>100182.76671373259</v>
      </c>
      <c r="H84" s="14" t="s">
        <v>137</v>
      </c>
      <c r="I84" s="27" t="s">
        <v>23</v>
      </c>
    </row>
    <row r="85" spans="1:9" ht="15" thickBot="1" x14ac:dyDescent="0.4">
      <c r="A85" s="23" t="s">
        <v>138</v>
      </c>
      <c r="B85" s="34"/>
      <c r="C85" s="33">
        <f t="shared" ref="C85:G85" si="3">C54+C74+C83+C84</f>
        <v>14394543.001512462</v>
      </c>
      <c r="D85" s="33">
        <f t="shared" si="3"/>
        <v>14869126.154176176</v>
      </c>
      <c r="E85" s="33">
        <f t="shared" si="3"/>
        <v>15027936.361396564</v>
      </c>
      <c r="F85" s="33">
        <f t="shared" si="3"/>
        <v>15009910.090315567</v>
      </c>
      <c r="G85" s="33">
        <f t="shared" si="3"/>
        <v>15270459.403987424</v>
      </c>
      <c r="I85" s="27"/>
    </row>
    <row r="86" spans="1:9" ht="15" thickTop="1" x14ac:dyDescent="0.35">
      <c r="A86" s="14" t="s">
        <v>139</v>
      </c>
      <c r="B86" s="4"/>
      <c r="C86" s="35"/>
      <c r="D86" s="35"/>
      <c r="E86" s="35"/>
      <c r="F86" s="35"/>
      <c r="G86" s="35"/>
      <c r="I86" s="27"/>
    </row>
    <row r="87" spans="1:9" ht="15" thickBot="1" x14ac:dyDescent="0.4">
      <c r="B87" s="36"/>
      <c r="C87" s="37">
        <v>0</v>
      </c>
      <c r="D87" s="37">
        <v>0</v>
      </c>
      <c r="E87" s="38">
        <v>0</v>
      </c>
      <c r="F87" s="38">
        <v>0</v>
      </c>
      <c r="G87" s="38">
        <v>0</v>
      </c>
      <c r="H87" s="49"/>
      <c r="I87" s="50"/>
    </row>
    <row r="88" spans="1:9" x14ac:dyDescent="0.35">
      <c r="B88" s="39"/>
      <c r="C88" s="32"/>
      <c r="D88" s="32"/>
      <c r="E88" s="32"/>
      <c r="F88" s="32"/>
      <c r="G88" s="32"/>
    </row>
    <row r="89" spans="1:9" x14ac:dyDescent="0.35">
      <c r="G89" s="39"/>
    </row>
    <row r="90" spans="1:9" x14ac:dyDescent="0.35">
      <c r="C90" s="40"/>
      <c r="D90" s="40"/>
      <c r="E90" s="40"/>
      <c r="F90" s="40"/>
      <c r="G90" s="40"/>
    </row>
    <row r="91" spans="1:9" x14ac:dyDescent="0.35">
      <c r="G91" s="39"/>
    </row>
  </sheetData>
  <dataValidations disablePrompts="1" count="2">
    <dataValidation type="list" allowBlank="1" showInputMessage="1" showErrorMessage="1" sqref="A2" xr:uid="{AAA9D214-52FE-4C0E-AC63-CAE3FE56CDC4}">
      <formula1>"Annual Period 2019,Annual Period 2020,Annual Period 2021,Annual Period 2022,Annual Period 2023"</formula1>
    </dataValidation>
    <dataValidation type="list" allowBlank="1" showInputMessage="1" showErrorMessage="1" sqref="A3:A5" xr:uid="{080C6DE1-23EB-4F24-96F6-FA9FAEC19056}">
      <formula1>"Reporting Date: Quarter Ended March 31,Reporting Date: Quarter Ended June 30,Reporting Date: Quarter Ended September 30, Reporting Date: Quarter Ended December 31"</formula1>
    </dataValidation>
  </dataValidations>
  <hyperlinks>
    <hyperlink ref="C6" r:id="rId1" xr:uid="{A8F43FCF-C582-423A-B834-4CC06837001C}"/>
    <hyperlink ref="D6" r:id="rId2" xr:uid="{D777E6CD-C3F8-4159-8DF8-8F6A53F81618}"/>
    <hyperlink ref="E6" r:id="rId3" display="4651-E-A" xr:uid="{CEB14D38-56EB-4C8E-8CC3-F511084C52B8}"/>
    <hyperlink ref="F6" r:id="rId4" xr:uid="{E7A77559-9B20-48D5-B751-E04FB6620AD4}"/>
    <hyperlink ref="G6" r:id="rId5" xr:uid="{EA2BC2E1-1212-4BCA-81A3-43F8960E5B42}"/>
  </hyperlinks>
  <pageMargins left="0.7" right="0.7" top="0.75" bottom="0.75" header="0.3" footer="0.3"/>
  <pageSetup paperSize="5" scale="41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4CB7-2423-4C28-AC13-9739AFCF6171}">
  <sheetPr>
    <pageSetUpPr fitToPage="1"/>
  </sheetPr>
  <dimension ref="A1:AA130"/>
  <sheetViews>
    <sheetView showGridLines="0" tabSelected="1" zoomScaleNormal="100" workbookViewId="0">
      <pane xSplit="1" topLeftCell="C1" activePane="topRight" state="frozen"/>
      <selection activeCell="D99" sqref="D99"/>
      <selection pane="topRight" sqref="A1:XFD1"/>
    </sheetView>
  </sheetViews>
  <sheetFormatPr defaultColWidth="9.1796875" defaultRowHeight="14.5" x14ac:dyDescent="0.35"/>
  <cols>
    <col min="1" max="1" width="65.453125" style="51" customWidth="1"/>
    <col min="2" max="2" width="24.81640625" style="51" customWidth="1"/>
    <col min="3" max="3" width="57.453125" style="51" customWidth="1"/>
    <col min="4" max="4" width="14.54296875" style="51" customWidth="1"/>
    <col min="5" max="5" width="32.54296875" style="51" customWidth="1"/>
    <col min="6" max="6" width="16.1796875" style="51" customWidth="1"/>
    <col min="7" max="7" width="14.54296875" style="51" customWidth="1"/>
    <col min="8" max="9" width="15.453125" style="51" customWidth="1"/>
    <col min="10" max="10" width="25.453125" style="53" customWidth="1"/>
    <col min="11" max="14" width="15" style="51" customWidth="1"/>
    <col min="15" max="15" width="19.54296875" style="51" customWidth="1"/>
    <col min="16" max="16" width="14.54296875" style="51" customWidth="1"/>
    <col min="17" max="17" width="21" style="51" customWidth="1"/>
    <col min="18" max="18" width="17.54296875" style="51" customWidth="1"/>
    <col min="19" max="20" width="15.54296875" style="51" customWidth="1"/>
    <col min="21" max="21" width="16.54296875" style="51" bestFit="1" customWidth="1"/>
    <col min="22" max="23" width="13.54296875" style="51" customWidth="1"/>
    <col min="24" max="24" width="15.453125" style="51" customWidth="1"/>
    <col min="25" max="26" width="13.54296875" style="51" customWidth="1"/>
    <col min="27" max="28" width="13.54296875" style="51" bestFit="1" customWidth="1"/>
    <col min="29" max="29" width="9.1796875" style="51"/>
    <col min="30" max="30" width="13.54296875" style="51" bestFit="1" customWidth="1"/>
    <col min="31" max="16384" width="9.1796875" style="51"/>
  </cols>
  <sheetData>
    <row r="1" spans="1:27" x14ac:dyDescent="0.35">
      <c r="F1" s="57"/>
      <c r="G1" s="58"/>
    </row>
    <row r="2" spans="1:27" x14ac:dyDescent="0.35">
      <c r="A2" s="51" t="s">
        <v>0</v>
      </c>
      <c r="B2" s="59"/>
      <c r="F2" s="57"/>
      <c r="G2" s="58"/>
    </row>
    <row r="3" spans="1:27" x14ac:dyDescent="0.35">
      <c r="A3" s="51" t="s">
        <v>1</v>
      </c>
      <c r="B3" s="59"/>
      <c r="C3" s="60"/>
      <c r="F3" s="61"/>
      <c r="G3" s="58"/>
    </row>
    <row r="4" spans="1:27" x14ac:dyDescent="0.35">
      <c r="B4" s="59"/>
      <c r="G4" s="58"/>
      <c r="H4" s="58"/>
    </row>
    <row r="5" spans="1:27" x14ac:dyDescent="0.35">
      <c r="A5" s="62" t="s">
        <v>141</v>
      </c>
      <c r="B5" s="52">
        <f>'[1]Authorized Rev Req'!V85</f>
        <v>15270459.403987424</v>
      </c>
      <c r="C5" s="51" t="s">
        <v>142</v>
      </c>
      <c r="E5" s="107"/>
    </row>
    <row r="6" spans="1:27" x14ac:dyDescent="0.35">
      <c r="A6" s="62" t="s">
        <v>143</v>
      </c>
      <c r="B6" s="63" t="str">
        <f>'[1]Authorized Rev Req'!V4</f>
        <v>October 1, 2022</v>
      </c>
      <c r="G6" s="58"/>
      <c r="H6" s="58"/>
    </row>
    <row r="7" spans="1:27" ht="32.25" customHeight="1" x14ac:dyDescent="0.35">
      <c r="A7" s="64" t="s">
        <v>144</v>
      </c>
      <c r="B7" s="65"/>
      <c r="C7" s="65"/>
      <c r="D7" s="65"/>
      <c r="E7" s="65"/>
      <c r="F7" s="66" t="s">
        <v>145</v>
      </c>
      <c r="G7" s="67"/>
      <c r="H7" s="66"/>
      <c r="I7" s="66"/>
      <c r="J7" s="65"/>
      <c r="K7" s="68"/>
      <c r="L7" s="68"/>
      <c r="M7" s="68"/>
      <c r="N7" s="68"/>
      <c r="O7" s="68"/>
    </row>
    <row r="8" spans="1:27" ht="61.5" customHeight="1" x14ac:dyDescent="0.35">
      <c r="A8" s="69" t="s">
        <v>12</v>
      </c>
      <c r="B8" s="69" t="s">
        <v>146</v>
      </c>
      <c r="C8" s="70" t="s">
        <v>13</v>
      </c>
      <c r="D8" s="70" t="s">
        <v>147</v>
      </c>
      <c r="E8" s="70" t="s">
        <v>16</v>
      </c>
      <c r="F8" s="71">
        <v>2022</v>
      </c>
      <c r="G8" s="71">
        <v>2023</v>
      </c>
      <c r="H8" s="71">
        <v>2024</v>
      </c>
      <c r="I8" s="71">
        <v>2025</v>
      </c>
      <c r="J8" s="70" t="s">
        <v>148</v>
      </c>
      <c r="K8" s="112"/>
      <c r="L8" s="112"/>
      <c r="M8" s="112"/>
      <c r="N8" s="72"/>
      <c r="Q8" s="73" t="s">
        <v>149</v>
      </c>
      <c r="R8" s="74"/>
    </row>
    <row r="9" spans="1:27" x14ac:dyDescent="0.35">
      <c r="A9" s="62" t="s">
        <v>18</v>
      </c>
      <c r="F9" s="62"/>
      <c r="G9" s="62"/>
      <c r="H9" s="62"/>
      <c r="I9" s="62"/>
      <c r="R9" s="75">
        <v>2022</v>
      </c>
      <c r="S9" s="75">
        <v>2023</v>
      </c>
      <c r="T9" s="75">
        <v>2024</v>
      </c>
      <c r="U9" s="75">
        <v>2025</v>
      </c>
    </row>
    <row r="10" spans="1:27" x14ac:dyDescent="0.35">
      <c r="A10" s="51" t="s">
        <v>150</v>
      </c>
      <c r="C10" s="76" t="s">
        <v>27</v>
      </c>
      <c r="D10" s="5">
        <f>'[1]Authorized Rev Req'!V9</f>
        <v>703910</v>
      </c>
      <c r="E10" s="57" t="s">
        <v>22</v>
      </c>
      <c r="F10" s="6">
        <f t="shared" ref="F10:F70" si="0">D10</f>
        <v>703910</v>
      </c>
      <c r="G10" s="6">
        <f>F10+33275</f>
        <v>737185</v>
      </c>
      <c r="H10" s="60">
        <f>G10</f>
        <v>737185</v>
      </c>
      <c r="I10" s="6">
        <f>H10</f>
        <v>737185</v>
      </c>
      <c r="J10" s="51" t="s">
        <v>151</v>
      </c>
      <c r="K10" s="7"/>
      <c r="L10" s="7"/>
      <c r="M10" s="7"/>
      <c r="N10" s="77"/>
      <c r="Q10" s="51" t="s">
        <v>22</v>
      </c>
      <c r="R10" s="8">
        <f t="shared" ref="R10:U21" si="1">SUMIF($E$10:$E$81,$Q10,F$10:F$81)</f>
        <v>5016250.014703501</v>
      </c>
      <c r="S10" s="8">
        <f t="shared" si="1"/>
        <v>5078597.2803737521</v>
      </c>
      <c r="T10" s="8">
        <f t="shared" si="1"/>
        <v>4521502.2246923214</v>
      </c>
      <c r="U10" s="78">
        <f t="shared" si="1"/>
        <v>4521502.2246923214</v>
      </c>
      <c r="Y10" s="54"/>
      <c r="Z10" s="9"/>
      <c r="AA10" s="54"/>
    </row>
    <row r="11" spans="1:27" x14ac:dyDescent="0.35">
      <c r="A11" s="51" t="s">
        <v>152</v>
      </c>
      <c r="C11" s="76" t="s">
        <v>27</v>
      </c>
      <c r="D11" s="5">
        <f>'[1]Authorized Rev Req'!V10</f>
        <v>62641</v>
      </c>
      <c r="E11" s="57" t="s">
        <v>24</v>
      </c>
      <c r="F11" s="6">
        <f t="shared" si="0"/>
        <v>62641</v>
      </c>
      <c r="G11" s="6">
        <f>F11-0.187</f>
        <v>62640.813000000002</v>
      </c>
      <c r="H11" s="60">
        <f t="shared" ref="H11:I12" si="2">G11</f>
        <v>62640.813000000002</v>
      </c>
      <c r="I11" s="6">
        <f t="shared" si="2"/>
        <v>62640.813000000002</v>
      </c>
      <c r="J11" s="51" t="s">
        <v>151</v>
      </c>
      <c r="K11" s="7"/>
      <c r="L11" s="7"/>
      <c r="M11" s="7"/>
      <c r="N11" s="77"/>
      <c r="Q11" s="51" t="s">
        <v>24</v>
      </c>
      <c r="R11" s="7">
        <f t="shared" si="1"/>
        <v>742010.69008097658</v>
      </c>
      <c r="S11" s="7">
        <f t="shared" si="1"/>
        <v>742010.50308097666</v>
      </c>
      <c r="T11" s="7">
        <f t="shared" si="1"/>
        <v>670463.81299999997</v>
      </c>
      <c r="U11" s="77">
        <f t="shared" si="1"/>
        <v>670463.81299999997</v>
      </c>
      <c r="Y11" s="54"/>
      <c r="Z11" s="9"/>
      <c r="AA11" s="54"/>
    </row>
    <row r="12" spans="1:27" x14ac:dyDescent="0.35">
      <c r="A12" s="51" t="s">
        <v>150</v>
      </c>
      <c r="C12" s="76" t="s">
        <v>27</v>
      </c>
      <c r="D12" s="79">
        <f>'[1]Authorized Rev Req'!V11</f>
        <v>6492669</v>
      </c>
      <c r="E12" s="61" t="s">
        <v>25</v>
      </c>
      <c r="F12" s="80">
        <f t="shared" si="0"/>
        <v>6492669</v>
      </c>
      <c r="G12" s="80">
        <f>F12+497540</f>
        <v>6990209</v>
      </c>
      <c r="H12" s="60">
        <f t="shared" si="2"/>
        <v>6990209</v>
      </c>
      <c r="I12" s="6">
        <f t="shared" si="2"/>
        <v>6990209</v>
      </c>
      <c r="J12" s="51" t="s">
        <v>151</v>
      </c>
      <c r="K12" s="7"/>
      <c r="L12" s="7"/>
      <c r="M12" s="7"/>
      <c r="N12" s="77"/>
      <c r="Q12" s="51" t="s">
        <v>25</v>
      </c>
      <c r="R12" s="7">
        <f t="shared" si="1"/>
        <v>7559501.2339969613</v>
      </c>
      <c r="S12" s="7">
        <f t="shared" si="1"/>
        <v>8208008.5519213239</v>
      </c>
      <c r="T12" s="7">
        <f t="shared" si="1"/>
        <v>7792877.7511941735</v>
      </c>
      <c r="U12" s="77">
        <f t="shared" si="1"/>
        <v>7447214.1874344284</v>
      </c>
      <c r="Y12" s="54"/>
      <c r="Z12" s="9"/>
      <c r="AA12" s="54"/>
    </row>
    <row r="13" spans="1:27" ht="14.5" customHeight="1" x14ac:dyDescent="0.35">
      <c r="A13" s="51" t="s">
        <v>153</v>
      </c>
      <c r="C13" s="76" t="s">
        <v>27</v>
      </c>
      <c r="D13" s="79">
        <f>'[1]Authorized Rev Req'!V12</f>
        <v>-3564.7908969583245</v>
      </c>
      <c r="E13" s="61" t="s">
        <v>22</v>
      </c>
      <c r="F13" s="80">
        <f t="shared" si="0"/>
        <v>-3564.7908969583245</v>
      </c>
      <c r="G13" s="80">
        <f>F13</f>
        <v>-3564.7908969583245</v>
      </c>
      <c r="H13" s="6"/>
      <c r="I13" s="6"/>
      <c r="J13" s="53" t="s">
        <v>154</v>
      </c>
      <c r="K13" s="81"/>
      <c r="L13" s="7"/>
      <c r="M13" s="7"/>
      <c r="N13" s="77"/>
      <c r="Q13" s="51" t="s">
        <v>37</v>
      </c>
      <c r="R13" s="7">
        <f t="shared" si="1"/>
        <v>-647824</v>
      </c>
      <c r="S13" s="7">
        <f t="shared" si="1"/>
        <v>-647824</v>
      </c>
      <c r="T13" s="7">
        <f t="shared" si="1"/>
        <v>-647824</v>
      </c>
      <c r="U13" s="77">
        <f t="shared" si="1"/>
        <v>-647824</v>
      </c>
      <c r="Y13" s="54"/>
      <c r="Z13" s="9"/>
      <c r="AA13" s="54"/>
    </row>
    <row r="14" spans="1:27" ht="14.5" customHeight="1" x14ac:dyDescent="0.35">
      <c r="A14" s="51" t="s">
        <v>153</v>
      </c>
      <c r="C14" s="76" t="s">
        <v>155</v>
      </c>
      <c r="D14" s="79">
        <f>'[1]Authorized Rev Req'!V13</f>
        <v>2213.3947592324962</v>
      </c>
      <c r="E14" s="61" t="s">
        <v>24</v>
      </c>
      <c r="F14" s="80">
        <f>D14</f>
        <v>2213.3947592324962</v>
      </c>
      <c r="G14" s="80">
        <f>F14</f>
        <v>2213.3947592324962</v>
      </c>
      <c r="H14" s="6"/>
      <c r="I14" s="6"/>
      <c r="J14" s="53" t="s">
        <v>154</v>
      </c>
      <c r="K14" s="81"/>
      <c r="L14" s="7"/>
      <c r="M14" s="7"/>
      <c r="N14" s="77"/>
      <c r="Q14" s="51" t="s">
        <v>38</v>
      </c>
      <c r="R14" s="7">
        <f t="shared" si="1"/>
        <v>7878.0249812341499</v>
      </c>
      <c r="S14" s="7">
        <f t="shared" si="1"/>
        <v>4648</v>
      </c>
      <c r="T14" s="7">
        <f t="shared" si="1"/>
        <v>4648</v>
      </c>
      <c r="U14" s="77">
        <f t="shared" si="1"/>
        <v>4648</v>
      </c>
      <c r="Y14" s="54"/>
      <c r="Z14" s="9"/>
      <c r="AA14" s="54"/>
    </row>
    <row r="15" spans="1:27" ht="14.5" customHeight="1" x14ac:dyDescent="0.35">
      <c r="A15" s="51" t="s">
        <v>153</v>
      </c>
      <c r="C15" s="76" t="s">
        <v>27</v>
      </c>
      <c r="D15" s="79">
        <f>'[1]Authorized Rev Req'!V14</f>
        <v>322298.97490968654</v>
      </c>
      <c r="E15" s="61" t="s">
        <v>25</v>
      </c>
      <c r="F15" s="80">
        <f t="shared" si="0"/>
        <v>322298.97490968654</v>
      </c>
      <c r="G15" s="80">
        <f>F15</f>
        <v>322298.97490968654</v>
      </c>
      <c r="H15" s="6"/>
      <c r="I15" s="6"/>
      <c r="J15" s="53" t="s">
        <v>154</v>
      </c>
      <c r="K15" s="81"/>
      <c r="L15" s="7"/>
      <c r="M15" s="7"/>
      <c r="N15" s="77"/>
      <c r="Q15" s="51" t="s">
        <v>39</v>
      </c>
      <c r="R15" s="7">
        <f t="shared" si="1"/>
        <v>749493.57158317999</v>
      </c>
      <c r="S15" s="7">
        <f t="shared" si="1"/>
        <v>826061.05570704653</v>
      </c>
      <c r="T15" s="7">
        <f t="shared" si="1"/>
        <v>745600.11279782956</v>
      </c>
      <c r="U15" s="77">
        <f t="shared" si="1"/>
        <v>669015.91846764868</v>
      </c>
      <c r="Y15" s="54"/>
      <c r="Z15" s="9"/>
      <c r="AA15" s="54"/>
    </row>
    <row r="16" spans="1:27" x14ac:dyDescent="0.35">
      <c r="A16" s="51" t="s">
        <v>29</v>
      </c>
      <c r="C16" s="76" t="s">
        <v>20</v>
      </c>
      <c r="D16" s="5">
        <f>'[1]Authorized Rev Req'!V15</f>
        <v>-11261</v>
      </c>
      <c r="E16" s="57" t="s">
        <v>25</v>
      </c>
      <c r="F16" s="6">
        <f t="shared" si="0"/>
        <v>-11261</v>
      </c>
      <c r="G16" s="6">
        <f>F16</f>
        <v>-11261</v>
      </c>
      <c r="H16" s="6">
        <f t="shared" ref="H16:I31" si="3">G16</f>
        <v>-11261</v>
      </c>
      <c r="I16" s="6">
        <f t="shared" si="3"/>
        <v>-11261</v>
      </c>
      <c r="J16" s="51" t="s">
        <v>151</v>
      </c>
      <c r="K16" s="7"/>
      <c r="L16" s="7"/>
      <c r="M16" s="7"/>
      <c r="N16" s="77"/>
      <c r="Q16" s="51" t="s">
        <v>156</v>
      </c>
      <c r="R16" s="7">
        <f t="shared" si="1"/>
        <v>0</v>
      </c>
      <c r="S16" s="7">
        <f t="shared" si="1"/>
        <v>0</v>
      </c>
      <c r="T16" s="7">
        <f t="shared" si="1"/>
        <v>0</v>
      </c>
      <c r="U16" s="7">
        <f t="shared" si="1"/>
        <v>0</v>
      </c>
      <c r="V16" s="7"/>
      <c r="W16" s="7"/>
      <c r="X16" s="7"/>
      <c r="Y16" s="54"/>
      <c r="Z16" s="9"/>
      <c r="AA16" s="54"/>
    </row>
    <row r="17" spans="1:27" x14ac:dyDescent="0.35">
      <c r="A17" s="51" t="s">
        <v>157</v>
      </c>
      <c r="C17" s="76" t="s">
        <v>20</v>
      </c>
      <c r="D17" s="5">
        <f>'[1]Authorized Rev Req'!V16</f>
        <v>6602.306107859029</v>
      </c>
      <c r="E17" s="57" t="s">
        <v>25</v>
      </c>
      <c r="F17" s="6">
        <f t="shared" si="0"/>
        <v>6602.306107859029</v>
      </c>
      <c r="G17" s="6"/>
      <c r="H17" s="6"/>
      <c r="I17" s="6">
        <f t="shared" si="3"/>
        <v>0</v>
      </c>
      <c r="J17" s="51" t="s">
        <v>151</v>
      </c>
      <c r="K17" s="7"/>
      <c r="L17" s="7"/>
      <c r="M17" s="7"/>
      <c r="N17" s="77"/>
      <c r="Q17" s="51" t="s">
        <v>121</v>
      </c>
      <c r="R17" s="7">
        <f t="shared" si="1"/>
        <v>301456.57969197293</v>
      </c>
      <c r="S17" s="7">
        <f t="shared" si="1"/>
        <v>446976</v>
      </c>
      <c r="T17" s="7">
        <f t="shared" si="1"/>
        <v>446976</v>
      </c>
      <c r="U17" s="77">
        <f t="shared" si="1"/>
        <v>446976</v>
      </c>
      <c r="Y17" s="54"/>
      <c r="Z17" s="9"/>
      <c r="AA17" s="54"/>
    </row>
    <row r="18" spans="1:27" x14ac:dyDescent="0.35">
      <c r="A18" s="51" t="s">
        <v>158</v>
      </c>
      <c r="C18" s="76" t="s">
        <v>32</v>
      </c>
      <c r="D18" s="5">
        <v>0</v>
      </c>
      <c r="E18" s="51" t="s">
        <v>22</v>
      </c>
      <c r="F18" s="6">
        <f>D18</f>
        <v>0</v>
      </c>
      <c r="G18" s="6">
        <f>3182*0</f>
        <v>0</v>
      </c>
      <c r="H18" s="6"/>
      <c r="I18" s="6"/>
      <c r="J18" s="53" t="s">
        <v>154</v>
      </c>
      <c r="K18" s="7"/>
      <c r="L18" s="7"/>
      <c r="M18" s="7"/>
      <c r="N18" s="77"/>
      <c r="Q18" s="82" t="s">
        <v>128</v>
      </c>
      <c r="R18" s="7">
        <f t="shared" si="1"/>
        <v>1412488.8840000001</v>
      </c>
      <c r="S18" s="7">
        <f t="shared" si="1"/>
        <v>1412488.8840000001</v>
      </c>
      <c r="T18" s="7">
        <f t="shared" si="1"/>
        <v>1412488.8840000001</v>
      </c>
      <c r="U18" s="77">
        <f t="shared" si="1"/>
        <v>1412488.8840000001</v>
      </c>
      <c r="Y18" s="54"/>
      <c r="Z18" s="9"/>
      <c r="AA18" s="54"/>
    </row>
    <row r="19" spans="1:27" x14ac:dyDescent="0.35">
      <c r="A19" s="51" t="s">
        <v>158</v>
      </c>
      <c r="C19" s="76" t="s">
        <v>32</v>
      </c>
      <c r="D19" s="5">
        <f>'[1]Authorized Rev Req'!$S$18</f>
        <v>19174.554547853812</v>
      </c>
      <c r="E19" s="51" t="s">
        <v>25</v>
      </c>
      <c r="F19" s="6">
        <f>D19</f>
        <v>19174.554547853812</v>
      </c>
      <c r="G19" s="6">
        <f>18962*0</f>
        <v>0</v>
      </c>
      <c r="H19" s="6"/>
      <c r="I19" s="6"/>
      <c r="J19" s="53" t="s">
        <v>154</v>
      </c>
      <c r="K19" s="7"/>
      <c r="L19" s="7"/>
      <c r="M19" s="7"/>
      <c r="N19" s="77"/>
      <c r="Q19" s="51" t="s">
        <v>131</v>
      </c>
      <c r="R19" s="7">
        <f t="shared" si="1"/>
        <v>-22443.830000000016</v>
      </c>
      <c r="S19" s="7">
        <f t="shared" si="1"/>
        <v>-22443.830000000016</v>
      </c>
      <c r="T19" s="7">
        <f t="shared" si="1"/>
        <v>-22443.830000000016</v>
      </c>
      <c r="U19" s="77">
        <f t="shared" si="1"/>
        <v>-22443.830000000016</v>
      </c>
      <c r="Y19" s="54"/>
      <c r="AA19" s="54"/>
    </row>
    <row r="20" spans="1:27" x14ac:dyDescent="0.35">
      <c r="A20" s="51" t="s">
        <v>159</v>
      </c>
      <c r="C20" s="76" t="s">
        <v>20</v>
      </c>
      <c r="D20" s="5">
        <f>'[1]Authorized Rev Req'!V19</f>
        <v>-5445.8638904927429</v>
      </c>
      <c r="E20" s="57" t="s">
        <v>22</v>
      </c>
      <c r="F20" s="6">
        <f t="shared" si="0"/>
        <v>-5445.8638904927429</v>
      </c>
      <c r="G20" s="6"/>
      <c r="H20" s="6"/>
      <c r="I20" s="6">
        <f t="shared" si="3"/>
        <v>0</v>
      </c>
      <c r="J20" s="51" t="s">
        <v>151</v>
      </c>
      <c r="K20" s="7"/>
      <c r="L20" s="7"/>
      <c r="M20" s="7"/>
      <c r="N20" s="77"/>
      <c r="Q20" s="51" t="s">
        <v>80</v>
      </c>
      <c r="R20" s="6">
        <f t="shared" si="1"/>
        <v>51465.468235864108</v>
      </c>
      <c r="S20" s="6">
        <f t="shared" si="1"/>
        <v>51465.468235864108</v>
      </c>
      <c r="T20" s="6">
        <f t="shared" si="1"/>
        <v>51465.468235864108</v>
      </c>
      <c r="U20" s="60">
        <f t="shared" si="1"/>
        <v>51465.468235864108</v>
      </c>
      <c r="AA20" s="54"/>
    </row>
    <row r="21" spans="1:27" x14ac:dyDescent="0.35">
      <c r="A21" s="51" t="s">
        <v>159</v>
      </c>
      <c r="C21" s="76" t="s">
        <v>20</v>
      </c>
      <c r="D21" s="5">
        <f>'[1]Authorized Rev Req'!V20</f>
        <v>-18772.983975755837</v>
      </c>
      <c r="E21" s="57" t="s">
        <v>25</v>
      </c>
      <c r="F21" s="6">
        <f t="shared" si="0"/>
        <v>-18772.983975755837</v>
      </c>
      <c r="G21" s="6"/>
      <c r="H21" s="6"/>
      <c r="I21" s="6">
        <f t="shared" si="3"/>
        <v>0</v>
      </c>
      <c r="J21" s="51" t="s">
        <v>151</v>
      </c>
      <c r="K21" s="7"/>
      <c r="L21" s="7"/>
      <c r="M21" s="7"/>
      <c r="N21" s="77"/>
      <c r="Q21" s="51" t="s">
        <v>137</v>
      </c>
      <c r="R21" s="10">
        <f t="shared" si="1"/>
        <v>100182.76671373259</v>
      </c>
      <c r="S21" s="10">
        <f t="shared" si="1"/>
        <v>100182.76671373259</v>
      </c>
      <c r="T21" s="10">
        <f t="shared" si="1"/>
        <v>100182.76671373259</v>
      </c>
      <c r="U21" s="83">
        <f t="shared" si="1"/>
        <v>100182.76671373259</v>
      </c>
      <c r="Y21" s="58"/>
    </row>
    <row r="22" spans="1:27" x14ac:dyDescent="0.35">
      <c r="A22" s="51" t="s">
        <v>160</v>
      </c>
      <c r="C22" s="76" t="s">
        <v>35</v>
      </c>
      <c r="D22" s="5">
        <f>'[1]Authorized Rev Req'!V21</f>
        <v>3778330</v>
      </c>
      <c r="E22" s="57" t="s">
        <v>22</v>
      </c>
      <c r="F22" s="6">
        <f t="shared" si="0"/>
        <v>3778330</v>
      </c>
      <c r="G22" s="6">
        <f t="shared" ref="G22:H31" si="4">F22</f>
        <v>3778330</v>
      </c>
      <c r="H22" s="6">
        <f t="shared" si="4"/>
        <v>3778330</v>
      </c>
      <c r="I22" s="6">
        <f t="shared" si="3"/>
        <v>3778330</v>
      </c>
      <c r="J22" s="51" t="s">
        <v>151</v>
      </c>
      <c r="K22" s="7"/>
      <c r="L22" s="7"/>
      <c r="M22" s="7"/>
      <c r="N22" s="77"/>
      <c r="Q22" s="62"/>
      <c r="R22" s="55">
        <f>SUM(R10:R21)</f>
        <v>15270459.403987421</v>
      </c>
      <c r="S22" s="55">
        <f>SUM(S10:S21)</f>
        <v>16200170.680032697</v>
      </c>
      <c r="T22" s="55">
        <f>SUM(T10:T21)</f>
        <v>15075937.190633921</v>
      </c>
      <c r="U22" s="55">
        <f>SUM(U10:U21)</f>
        <v>14653689.432543995</v>
      </c>
    </row>
    <row r="23" spans="1:27" x14ac:dyDescent="0.35">
      <c r="A23" s="51" t="s">
        <v>160</v>
      </c>
      <c r="C23" s="76" t="s">
        <v>35</v>
      </c>
      <c r="D23" s="5">
        <f>'[1]Authorized Rev Req'!V22</f>
        <v>607823</v>
      </c>
      <c r="E23" s="57" t="s">
        <v>24</v>
      </c>
      <c r="F23" s="6">
        <f t="shared" si="0"/>
        <v>607823</v>
      </c>
      <c r="G23" s="6">
        <f t="shared" si="4"/>
        <v>607823</v>
      </c>
      <c r="H23" s="6">
        <f t="shared" si="4"/>
        <v>607823</v>
      </c>
      <c r="I23" s="6">
        <f t="shared" si="3"/>
        <v>607823</v>
      </c>
      <c r="J23" s="51" t="s">
        <v>151</v>
      </c>
      <c r="K23" s="7"/>
      <c r="L23" s="7"/>
      <c r="M23" s="7"/>
      <c r="N23" s="77"/>
      <c r="R23" s="58" t="b">
        <f>R22=F81</f>
        <v>1</v>
      </c>
      <c r="S23" s="58" t="b">
        <f>S22=G81</f>
        <v>1</v>
      </c>
      <c r="T23" s="58" t="b">
        <f>T22=H81</f>
        <v>1</v>
      </c>
      <c r="U23" s="58" t="b">
        <f>U22=I81</f>
        <v>1</v>
      </c>
    </row>
    <row r="24" spans="1:27" x14ac:dyDescent="0.35">
      <c r="A24" s="51" t="s">
        <v>161</v>
      </c>
      <c r="C24" s="76" t="s">
        <v>35</v>
      </c>
      <c r="D24" s="5">
        <f>'[1]Authorized Rev Req'!V23</f>
        <v>69333.29532174411</v>
      </c>
      <c r="E24" s="57" t="s">
        <v>24</v>
      </c>
      <c r="F24" s="6">
        <f t="shared" si="0"/>
        <v>69333.29532174411</v>
      </c>
      <c r="G24" s="6">
        <f>F24</f>
        <v>69333.29532174411</v>
      </c>
      <c r="H24" s="6"/>
      <c r="I24" s="6">
        <f t="shared" si="3"/>
        <v>0</v>
      </c>
      <c r="J24" s="51" t="s">
        <v>151</v>
      </c>
      <c r="K24" s="7"/>
      <c r="L24" s="7"/>
      <c r="M24" s="7"/>
      <c r="N24" s="77"/>
      <c r="R24" s="55">
        <f>R22-F81</f>
        <v>0</v>
      </c>
    </row>
    <row r="25" spans="1:27" x14ac:dyDescent="0.35">
      <c r="A25" s="51" t="s">
        <v>162</v>
      </c>
      <c r="C25" s="76" t="s">
        <v>35</v>
      </c>
      <c r="D25" s="5">
        <f>'[1]Authorized Rev Req'!V24</f>
        <v>-647824</v>
      </c>
      <c r="E25" s="57" t="s">
        <v>37</v>
      </c>
      <c r="F25" s="6">
        <f t="shared" si="0"/>
        <v>-647824</v>
      </c>
      <c r="G25" s="6">
        <f t="shared" si="4"/>
        <v>-647824</v>
      </c>
      <c r="H25" s="6">
        <f t="shared" si="4"/>
        <v>-647824</v>
      </c>
      <c r="I25" s="6">
        <f t="shared" si="3"/>
        <v>-647824</v>
      </c>
      <c r="J25" s="51" t="s">
        <v>151</v>
      </c>
      <c r="K25" s="7"/>
      <c r="L25" s="7"/>
      <c r="M25" s="7"/>
      <c r="N25" s="77"/>
    </row>
    <row r="26" spans="1:27" x14ac:dyDescent="0.35">
      <c r="A26" s="51" t="s">
        <v>162</v>
      </c>
      <c r="C26" s="76" t="s">
        <v>35</v>
      </c>
      <c r="D26" s="5">
        <f>'[1]Authorized Rev Req'!V25</f>
        <v>4648</v>
      </c>
      <c r="E26" s="57" t="s">
        <v>38</v>
      </c>
      <c r="F26" s="6">
        <f t="shared" si="0"/>
        <v>4648</v>
      </c>
      <c r="G26" s="6">
        <f t="shared" si="4"/>
        <v>4648</v>
      </c>
      <c r="H26" s="6">
        <f t="shared" si="4"/>
        <v>4648</v>
      </c>
      <c r="I26" s="6">
        <f t="shared" si="3"/>
        <v>4648</v>
      </c>
      <c r="J26" s="51" t="s">
        <v>151</v>
      </c>
      <c r="K26" s="7"/>
      <c r="L26" s="7"/>
      <c r="M26" s="7"/>
      <c r="N26" s="7"/>
      <c r="O26" s="7"/>
    </row>
    <row r="27" spans="1:27" x14ac:dyDescent="0.35">
      <c r="A27" s="51" t="s">
        <v>162</v>
      </c>
      <c r="C27" s="76" t="s">
        <v>35</v>
      </c>
      <c r="D27" s="5">
        <f>'[1]Authorized Rev Req'!V26</f>
        <v>25298</v>
      </c>
      <c r="E27" s="57" t="s">
        <v>25</v>
      </c>
      <c r="F27" s="6">
        <f t="shared" si="0"/>
        <v>25298</v>
      </c>
      <c r="G27" s="6">
        <f t="shared" si="4"/>
        <v>25298</v>
      </c>
      <c r="H27" s="6">
        <f t="shared" si="4"/>
        <v>25298</v>
      </c>
      <c r="I27" s="6">
        <f t="shared" si="3"/>
        <v>25298</v>
      </c>
      <c r="J27" s="51" t="s">
        <v>151</v>
      </c>
      <c r="K27" s="7"/>
      <c r="L27" s="7"/>
      <c r="M27" s="7"/>
      <c r="N27" s="7"/>
      <c r="O27" s="7"/>
    </row>
    <row r="28" spans="1:27" x14ac:dyDescent="0.35">
      <c r="A28" s="51" t="s">
        <v>162</v>
      </c>
      <c r="C28" s="76" t="s">
        <v>35</v>
      </c>
      <c r="D28" s="5">
        <f>'[1]Authorized Rev Req'!V27</f>
        <v>70144</v>
      </c>
      <c r="E28" s="57" t="s">
        <v>39</v>
      </c>
      <c r="F28" s="6">
        <f t="shared" si="0"/>
        <v>70144</v>
      </c>
      <c r="G28" s="6">
        <f t="shared" si="4"/>
        <v>70144</v>
      </c>
      <c r="H28" s="6">
        <f t="shared" si="4"/>
        <v>70144</v>
      </c>
      <c r="I28" s="6">
        <f t="shared" si="3"/>
        <v>70144</v>
      </c>
      <c r="J28" s="51" t="s">
        <v>151</v>
      </c>
      <c r="K28" s="7"/>
      <c r="L28" s="7"/>
      <c r="M28" s="7"/>
      <c r="N28" s="7"/>
      <c r="O28" s="7"/>
    </row>
    <row r="29" spans="1:27" x14ac:dyDescent="0.35">
      <c r="A29" s="51" t="s">
        <v>163</v>
      </c>
      <c r="C29" s="76" t="s">
        <v>35</v>
      </c>
      <c r="D29" s="5">
        <f>'[1]Authorized Rev Req'!V28</f>
        <v>-48197.667760599841</v>
      </c>
      <c r="E29" s="57" t="s">
        <v>39</v>
      </c>
      <c r="F29" s="6">
        <f t="shared" si="0"/>
        <v>-48197.667760599841</v>
      </c>
      <c r="G29" s="6">
        <f>F29</f>
        <v>-48197.667760599841</v>
      </c>
      <c r="H29" s="6"/>
      <c r="I29" s="6">
        <f t="shared" si="3"/>
        <v>0</v>
      </c>
      <c r="J29" s="51" t="s">
        <v>151</v>
      </c>
      <c r="K29" s="7"/>
      <c r="L29" s="7"/>
      <c r="M29" s="7"/>
      <c r="N29" s="7"/>
      <c r="O29" s="7"/>
    </row>
    <row r="30" spans="1:27" x14ac:dyDescent="0.35">
      <c r="A30" s="51" t="s">
        <v>164</v>
      </c>
      <c r="C30" s="76" t="s">
        <v>35</v>
      </c>
      <c r="D30" s="5">
        <f>'[1]Authorized Rev Req'!V29</f>
        <v>540048.63167231309</v>
      </c>
      <c r="E30" s="51" t="s">
        <v>22</v>
      </c>
      <c r="F30" s="6">
        <f>D30</f>
        <v>540048.63167231309</v>
      </c>
      <c r="G30" s="6">
        <f>F30</f>
        <v>540048.63167231309</v>
      </c>
      <c r="H30" s="6"/>
      <c r="I30" s="6">
        <f>H30</f>
        <v>0</v>
      </c>
      <c r="J30" s="51" t="s">
        <v>151</v>
      </c>
      <c r="K30" s="7"/>
      <c r="L30" s="7"/>
      <c r="M30" s="7"/>
      <c r="N30" s="7"/>
      <c r="O30" s="7"/>
    </row>
    <row r="31" spans="1:27" x14ac:dyDescent="0.35">
      <c r="A31" s="51" t="s">
        <v>42</v>
      </c>
      <c r="C31" s="76" t="s">
        <v>35</v>
      </c>
      <c r="D31" s="5">
        <f>'[1]Authorized Rev Req'!V30</f>
        <v>3855.5164676486602</v>
      </c>
      <c r="E31" s="57" t="s">
        <v>39</v>
      </c>
      <c r="F31" s="6">
        <f t="shared" si="0"/>
        <v>3855.5164676486602</v>
      </c>
      <c r="G31" s="6">
        <f t="shared" si="4"/>
        <v>3855.5164676486602</v>
      </c>
      <c r="H31" s="6">
        <f t="shared" si="4"/>
        <v>3855.5164676486602</v>
      </c>
      <c r="I31" s="6">
        <f t="shared" si="3"/>
        <v>3855.5164676486602</v>
      </c>
      <c r="J31" s="51" t="s">
        <v>151</v>
      </c>
      <c r="K31" s="7"/>
      <c r="L31" s="7"/>
      <c r="M31" s="7"/>
      <c r="N31" s="7"/>
      <c r="O31" s="7"/>
    </row>
    <row r="32" spans="1:27" x14ac:dyDescent="0.35">
      <c r="A32" s="51" t="s">
        <v>165</v>
      </c>
      <c r="C32" s="76" t="s">
        <v>46</v>
      </c>
      <c r="D32" s="5">
        <f>'[1]Authorized Rev Req'!V32</f>
        <v>-5204.401779759055</v>
      </c>
      <c r="E32" s="51" t="s">
        <v>22</v>
      </c>
      <c r="F32" s="6">
        <f t="shared" si="0"/>
        <v>-5204.401779759055</v>
      </c>
      <c r="G32" s="6"/>
      <c r="H32" s="6"/>
      <c r="I32" s="6">
        <f t="shared" ref="I32:I37" si="5">H32</f>
        <v>0</v>
      </c>
      <c r="J32" s="51" t="s">
        <v>151</v>
      </c>
      <c r="K32" s="7"/>
      <c r="L32" s="7"/>
      <c r="M32" s="7"/>
      <c r="N32" s="7"/>
      <c r="O32" s="7"/>
    </row>
    <row r="33" spans="1:18" x14ac:dyDescent="0.35">
      <c r="A33" s="51" t="s">
        <v>166</v>
      </c>
      <c r="C33" s="76" t="s">
        <v>27</v>
      </c>
      <c r="D33" s="5">
        <f>'[1]Authorized Rev Req'!V33</f>
        <v>159282.49303614171</v>
      </c>
      <c r="E33" s="51" t="s">
        <v>25</v>
      </c>
      <c r="F33" s="6">
        <f t="shared" si="0"/>
        <v>159282.49303614171</v>
      </c>
      <c r="G33" s="6"/>
      <c r="H33" s="6"/>
      <c r="I33" s="6">
        <f t="shared" si="5"/>
        <v>0</v>
      </c>
      <c r="J33" s="51" t="s">
        <v>151</v>
      </c>
      <c r="K33" s="7"/>
      <c r="L33" s="7"/>
      <c r="M33" s="7"/>
      <c r="N33" s="7"/>
      <c r="O33" s="7"/>
    </row>
    <row r="34" spans="1:18" x14ac:dyDescent="0.35">
      <c r="A34" s="51" t="s">
        <v>47</v>
      </c>
      <c r="C34" s="76" t="s">
        <v>46</v>
      </c>
      <c r="D34" s="5">
        <f>'[1]Authorized Rev Req'!V34</f>
        <v>3230.0249812341499</v>
      </c>
      <c r="E34" s="57" t="s">
        <v>38</v>
      </c>
      <c r="F34" s="6">
        <f t="shared" si="0"/>
        <v>3230.0249812341499</v>
      </c>
      <c r="G34" s="6"/>
      <c r="H34" s="6"/>
      <c r="I34" s="6"/>
      <c r="J34" s="51" t="s">
        <v>151</v>
      </c>
      <c r="K34" s="7"/>
      <c r="L34" s="7"/>
      <c r="M34" s="7"/>
      <c r="N34" s="7"/>
      <c r="O34" s="7"/>
    </row>
    <row r="35" spans="1:18" x14ac:dyDescent="0.35">
      <c r="A35" s="51" t="s">
        <v>167</v>
      </c>
      <c r="C35" s="76" t="s">
        <v>46</v>
      </c>
      <c r="D35" s="5">
        <f>'[1]Authorized Rev Req'!V35</f>
        <v>-8951.3608759825784</v>
      </c>
      <c r="E35" s="57" t="s">
        <v>39</v>
      </c>
      <c r="F35" s="6">
        <f t="shared" si="0"/>
        <v>-8951.3608759825784</v>
      </c>
      <c r="G35" s="6"/>
      <c r="H35" s="6"/>
      <c r="I35" s="6">
        <f t="shared" si="5"/>
        <v>0</v>
      </c>
      <c r="J35" s="51" t="s">
        <v>151</v>
      </c>
      <c r="K35" s="7"/>
      <c r="L35" s="7"/>
      <c r="M35" s="7"/>
      <c r="N35" s="7"/>
      <c r="O35" s="7"/>
    </row>
    <row r="36" spans="1:18" x14ac:dyDescent="0.35">
      <c r="A36" s="51" t="s">
        <v>168</v>
      </c>
      <c r="C36" s="76" t="s">
        <v>46</v>
      </c>
      <c r="D36" s="5">
        <f>'[1]Authorized Rev Req'!V36</f>
        <v>41729.766552047193</v>
      </c>
      <c r="E36" s="57" t="s">
        <v>39</v>
      </c>
      <c r="F36" s="6">
        <f t="shared" si="0"/>
        <v>41729.766552047193</v>
      </c>
      <c r="G36" s="6"/>
      <c r="H36" s="6"/>
      <c r="I36" s="6">
        <f t="shared" si="5"/>
        <v>0</v>
      </c>
      <c r="J36" s="51" t="s">
        <v>151</v>
      </c>
      <c r="K36" s="7"/>
      <c r="L36" s="7"/>
      <c r="M36" s="7"/>
      <c r="N36" s="7"/>
      <c r="O36" s="55"/>
      <c r="R36" s="84"/>
    </row>
    <row r="37" spans="1:18" x14ac:dyDescent="0.35">
      <c r="A37" s="51" t="s">
        <v>52</v>
      </c>
      <c r="C37" s="76" t="s">
        <v>53</v>
      </c>
      <c r="D37" s="5">
        <f>'[1]Authorized Rev Req'!V37</f>
        <v>0</v>
      </c>
      <c r="E37" s="57" t="s">
        <v>156</v>
      </c>
      <c r="F37" s="60">
        <f t="shared" si="0"/>
        <v>0</v>
      </c>
      <c r="G37" s="6"/>
      <c r="H37" s="6"/>
      <c r="I37" s="6">
        <f t="shared" si="5"/>
        <v>0</v>
      </c>
      <c r="J37" s="51" t="s">
        <v>151</v>
      </c>
      <c r="K37" s="7"/>
      <c r="L37" s="7"/>
      <c r="M37" s="7"/>
      <c r="N37" s="7"/>
      <c r="O37" s="55"/>
      <c r="R37" s="84"/>
    </row>
    <row r="38" spans="1:18" x14ac:dyDescent="0.35">
      <c r="A38" s="51" t="s">
        <v>169</v>
      </c>
      <c r="C38" s="51" t="s">
        <v>170</v>
      </c>
      <c r="D38" s="13"/>
      <c r="E38" s="82" t="s">
        <v>25</v>
      </c>
      <c r="F38" s="60"/>
      <c r="G38" s="60">
        <f>105400+93866</f>
        <v>199266</v>
      </c>
      <c r="H38" s="60">
        <v>87075</v>
      </c>
      <c r="I38" s="60">
        <v>101989</v>
      </c>
      <c r="J38" s="51"/>
      <c r="K38" s="7"/>
      <c r="L38" s="7"/>
      <c r="M38" s="7"/>
      <c r="N38" s="7"/>
      <c r="O38" s="55"/>
      <c r="R38" s="84"/>
    </row>
    <row r="39" spans="1:18" x14ac:dyDescent="0.35">
      <c r="A39" s="51" t="s">
        <v>54</v>
      </c>
      <c r="C39" s="51" t="s">
        <v>55</v>
      </c>
      <c r="D39" s="5">
        <f>'[1]Authorized Rev Req'!V38</f>
        <v>2189.2149060761076</v>
      </c>
      <c r="E39" s="82" t="s">
        <v>22</v>
      </c>
      <c r="F39" s="55">
        <f t="shared" si="0"/>
        <v>2189.2149060761076</v>
      </c>
      <c r="G39" s="55">
        <f t="shared" ref="G39:I41" si="6">F39</f>
        <v>2189.2149060761076</v>
      </c>
      <c r="H39" s="55"/>
      <c r="I39" s="55">
        <f t="shared" si="6"/>
        <v>0</v>
      </c>
      <c r="J39" s="51" t="s">
        <v>154</v>
      </c>
      <c r="K39" s="7"/>
      <c r="L39" s="55"/>
      <c r="M39" s="55"/>
      <c r="N39" s="55"/>
      <c r="O39" s="55"/>
      <c r="R39" s="84"/>
    </row>
    <row r="40" spans="1:18" x14ac:dyDescent="0.35">
      <c r="A40" s="51" t="s">
        <v>171</v>
      </c>
      <c r="C40" s="51" t="s">
        <v>56</v>
      </c>
      <c r="D40" s="5">
        <f>'[1]Authorized Rev Req'!V39</f>
        <v>6656.6289730711396</v>
      </c>
      <c r="E40" s="82" t="s">
        <v>25</v>
      </c>
      <c r="F40" s="55">
        <f t="shared" si="0"/>
        <v>6656.6289730711396</v>
      </c>
      <c r="G40" s="55">
        <f t="shared" si="6"/>
        <v>6656.6289730711396</v>
      </c>
      <c r="H40" s="55"/>
      <c r="I40" s="55">
        <f t="shared" si="6"/>
        <v>0</v>
      </c>
      <c r="J40" s="51" t="s">
        <v>154</v>
      </c>
      <c r="K40" s="7"/>
      <c r="L40" s="55"/>
      <c r="M40" s="55"/>
      <c r="N40" s="55"/>
      <c r="O40" s="55"/>
      <c r="R40" s="84"/>
    </row>
    <row r="41" spans="1:18" x14ac:dyDescent="0.35">
      <c r="A41" s="51" t="s">
        <v>171</v>
      </c>
      <c r="C41" s="51" t="s">
        <v>56</v>
      </c>
      <c r="D41" s="5">
        <f>'[1]Authorized Rev Req'!V40</f>
        <v>10010.728669816845</v>
      </c>
      <c r="E41" s="82" t="s">
        <v>39</v>
      </c>
      <c r="F41" s="55">
        <f t="shared" si="0"/>
        <v>10010.728669816845</v>
      </c>
      <c r="G41" s="55">
        <f t="shared" si="6"/>
        <v>10010.728669816845</v>
      </c>
      <c r="H41" s="55"/>
      <c r="I41" s="55">
        <f t="shared" si="6"/>
        <v>0</v>
      </c>
      <c r="J41" s="51" t="s">
        <v>154</v>
      </c>
      <c r="K41" s="7"/>
      <c r="L41" s="55"/>
      <c r="M41" s="55"/>
      <c r="N41" s="55"/>
      <c r="O41" s="55"/>
      <c r="R41" s="84"/>
    </row>
    <row r="42" spans="1:18" x14ac:dyDescent="0.35">
      <c r="A42" s="85" t="s">
        <v>172</v>
      </c>
      <c r="C42" s="51" t="s">
        <v>173</v>
      </c>
      <c r="D42" s="77">
        <f>'[1]Authorized Rev Req'!V41</f>
        <v>84906</v>
      </c>
      <c r="E42" s="82" t="s">
        <v>25</v>
      </c>
      <c r="F42" s="55">
        <f t="shared" si="0"/>
        <v>84906</v>
      </c>
      <c r="G42" s="55">
        <v>169796</v>
      </c>
      <c r="H42" s="55">
        <v>188425</v>
      </c>
      <c r="I42" s="55"/>
      <c r="J42" s="51" t="s">
        <v>154</v>
      </c>
      <c r="K42" s="81"/>
      <c r="L42" s="55"/>
      <c r="M42" s="55"/>
      <c r="N42" s="55"/>
      <c r="O42" s="55"/>
      <c r="R42" s="84"/>
    </row>
    <row r="43" spans="1:18" x14ac:dyDescent="0.35">
      <c r="A43" s="85" t="s">
        <v>61</v>
      </c>
      <c r="C43" s="51" t="s">
        <v>62</v>
      </c>
      <c r="D43" s="5">
        <f>'[1]Authorized Rev Req'!V43</f>
        <v>135161.69012109609</v>
      </c>
      <c r="E43" s="82" t="s">
        <v>25</v>
      </c>
      <c r="F43" s="55">
        <f t="shared" si="0"/>
        <v>135161.69012109609</v>
      </c>
      <c r="G43" s="55">
        <f>F43</f>
        <v>135161.69012109609</v>
      </c>
      <c r="H43" s="55">
        <f>G43</f>
        <v>135161.69012109609</v>
      </c>
      <c r="I43" s="6"/>
      <c r="J43" s="51" t="s">
        <v>154</v>
      </c>
      <c r="K43" s="81"/>
      <c r="L43" s="55"/>
      <c r="M43" s="55"/>
      <c r="N43" s="55"/>
      <c r="O43" s="55"/>
      <c r="R43" s="84"/>
    </row>
    <row r="44" spans="1:18" x14ac:dyDescent="0.35">
      <c r="A44" s="85" t="s">
        <v>63</v>
      </c>
      <c r="C44" s="51" t="s">
        <v>64</v>
      </c>
      <c r="D44" s="5">
        <f>'[1]Authorized Rev Req'!V44</f>
        <v>135415.57954872175</v>
      </c>
      <c r="E44" s="82" t="s">
        <v>25</v>
      </c>
      <c r="F44" s="55">
        <f>$D$44</f>
        <v>135415.57954872175</v>
      </c>
      <c r="G44" s="55">
        <f t="shared" ref="G44:I44" si="7">$D$44</f>
        <v>135415.57954872175</v>
      </c>
      <c r="H44" s="55">
        <f t="shared" si="7"/>
        <v>135415.57954872175</v>
      </c>
      <c r="I44" s="55">
        <f t="shared" si="7"/>
        <v>135415.57954872175</v>
      </c>
      <c r="J44" s="51"/>
      <c r="K44" s="81"/>
      <c r="L44" s="55"/>
      <c r="M44" s="55"/>
      <c r="N44" s="55"/>
      <c r="O44" s="55"/>
      <c r="R44" s="84"/>
    </row>
    <row r="45" spans="1:18" x14ac:dyDescent="0.35">
      <c r="A45" s="85" t="s">
        <v>65</v>
      </c>
      <c r="C45" s="51" t="s">
        <v>66</v>
      </c>
      <c r="D45" s="5">
        <f>'[1]Authorized Rev Req'!V45</f>
        <v>26556.155303815507</v>
      </c>
      <c r="E45" s="82" t="s">
        <v>25</v>
      </c>
      <c r="F45" s="55">
        <f t="shared" si="0"/>
        <v>26556.155303815507</v>
      </c>
      <c r="G45" s="55">
        <f>F45</f>
        <v>26556.155303815507</v>
      </c>
      <c r="H45" s="55"/>
      <c r="I45" s="6"/>
      <c r="J45" s="51"/>
      <c r="K45" s="81"/>
      <c r="L45" s="55"/>
      <c r="M45" s="55"/>
      <c r="N45" s="55"/>
      <c r="O45" s="55"/>
      <c r="R45" s="84"/>
    </row>
    <row r="46" spans="1:18" x14ac:dyDescent="0.35">
      <c r="A46" s="85" t="s">
        <v>67</v>
      </c>
      <c r="C46" s="51" t="s">
        <v>66</v>
      </c>
      <c r="D46" s="5"/>
      <c r="E46" s="85" t="s">
        <v>22</v>
      </c>
      <c r="F46" s="55"/>
      <c r="G46" s="55">
        <v>18422</v>
      </c>
      <c r="H46" s="55"/>
      <c r="I46" s="6"/>
      <c r="J46" s="51"/>
      <c r="K46" s="81"/>
      <c r="L46" s="55"/>
      <c r="M46" s="55"/>
      <c r="N46" s="55"/>
      <c r="O46" s="55"/>
      <c r="R46" s="84"/>
    </row>
    <row r="47" spans="1:18" x14ac:dyDescent="0.35">
      <c r="A47" s="85" t="s">
        <v>67</v>
      </c>
      <c r="C47" s="51" t="s">
        <v>68</v>
      </c>
      <c r="D47" s="5">
        <f>'[1]Authorized Rev Req'!V46</f>
        <v>119343.20661840618</v>
      </c>
      <c r="E47" s="82" t="s">
        <v>25</v>
      </c>
      <c r="F47" s="55">
        <f t="shared" si="0"/>
        <v>119343.20661840618</v>
      </c>
      <c r="G47" s="55">
        <f>F47</f>
        <v>119343.20661840618</v>
      </c>
      <c r="H47" s="55"/>
      <c r="I47" s="6"/>
      <c r="J47" s="51"/>
      <c r="K47" s="81"/>
      <c r="L47" s="55"/>
      <c r="M47" s="55"/>
      <c r="N47" s="55"/>
      <c r="O47" s="55"/>
      <c r="R47" s="84"/>
    </row>
    <row r="48" spans="1:18" x14ac:dyDescent="0.35">
      <c r="A48" s="85" t="s">
        <v>174</v>
      </c>
      <c r="C48" s="51" t="s">
        <v>175</v>
      </c>
      <c r="D48" s="5">
        <f>'[1]Authorized Rev Req'!V61</f>
        <v>23524.88576140692</v>
      </c>
      <c r="E48" s="82" t="s">
        <v>39</v>
      </c>
      <c r="F48" s="5">
        <f>D48</f>
        <v>23524.88576140692</v>
      </c>
      <c r="G48" s="55"/>
      <c r="H48" s="55"/>
      <c r="I48" s="6"/>
      <c r="J48" s="51" t="s">
        <v>154</v>
      </c>
      <c r="K48" s="81"/>
      <c r="L48" s="55"/>
      <c r="M48" s="55"/>
      <c r="N48" s="55"/>
      <c r="O48" s="55"/>
      <c r="R48" s="84"/>
    </row>
    <row r="49" spans="1:25" x14ac:dyDescent="0.35">
      <c r="A49" s="51" t="s">
        <v>176</v>
      </c>
      <c r="C49" s="51" t="s">
        <v>177</v>
      </c>
      <c r="D49" s="5">
        <f>'[1]Authorized Rev Req'!V48</f>
        <v>11737.630855592281</v>
      </c>
      <c r="E49" s="82" t="s">
        <v>25</v>
      </c>
      <c r="F49" s="55">
        <f t="shared" si="0"/>
        <v>11737.630855592281</v>
      </c>
      <c r="G49" s="55">
        <f>F49</f>
        <v>11737.630855592281</v>
      </c>
      <c r="H49" s="55">
        <f t="shared" ref="H49:I51" si="8">G49</f>
        <v>11737.630855592281</v>
      </c>
      <c r="I49" s="55">
        <f t="shared" si="8"/>
        <v>11737.630855592281</v>
      </c>
      <c r="J49" s="51" t="s">
        <v>154</v>
      </c>
      <c r="K49" s="7"/>
      <c r="L49" s="55"/>
      <c r="M49" s="55"/>
      <c r="N49" s="55"/>
      <c r="O49" s="55"/>
    </row>
    <row r="50" spans="1:25" x14ac:dyDescent="0.35">
      <c r="A50" s="85" t="s">
        <v>178</v>
      </c>
      <c r="C50" s="51" t="s">
        <v>179</v>
      </c>
      <c r="D50" s="5">
        <f>'[1]Authorized Rev Req'!V51</f>
        <v>19434.772000000001</v>
      </c>
      <c r="E50" s="82" t="s">
        <v>80</v>
      </c>
      <c r="F50" s="55">
        <f t="shared" si="0"/>
        <v>19434.772000000001</v>
      </c>
      <c r="G50" s="55">
        <f>F50</f>
        <v>19434.772000000001</v>
      </c>
      <c r="H50" s="55">
        <f t="shared" si="8"/>
        <v>19434.772000000001</v>
      </c>
      <c r="I50" s="55">
        <f t="shared" si="8"/>
        <v>19434.772000000001</v>
      </c>
      <c r="J50" s="51" t="s">
        <v>154</v>
      </c>
      <c r="K50" s="79"/>
      <c r="L50" s="55"/>
      <c r="M50" s="55"/>
      <c r="N50" s="55"/>
      <c r="O50" s="55"/>
    </row>
    <row r="51" spans="1:25" x14ac:dyDescent="0.35">
      <c r="A51" s="85" t="s">
        <v>81</v>
      </c>
      <c r="C51" s="51" t="s">
        <v>82</v>
      </c>
      <c r="D51" s="5">
        <f>'[1]Authorized Rev Req'!V52</f>
        <v>32030.696235864107</v>
      </c>
      <c r="E51" s="82" t="s">
        <v>80</v>
      </c>
      <c r="F51" s="55">
        <f t="shared" si="0"/>
        <v>32030.696235864107</v>
      </c>
      <c r="G51" s="55">
        <f>F51</f>
        <v>32030.696235864107</v>
      </c>
      <c r="H51" s="55">
        <f t="shared" si="8"/>
        <v>32030.696235864107</v>
      </c>
      <c r="I51" s="55">
        <f t="shared" si="8"/>
        <v>32030.696235864107</v>
      </c>
      <c r="J51" s="51" t="s">
        <v>154</v>
      </c>
      <c r="K51" s="79"/>
      <c r="L51" s="55"/>
      <c r="M51" s="55"/>
      <c r="N51" s="55"/>
      <c r="O51" s="55"/>
    </row>
    <row r="52" spans="1:25" x14ac:dyDescent="0.35">
      <c r="A52" s="51" t="s">
        <v>180</v>
      </c>
      <c r="C52" s="76"/>
      <c r="D52" s="5"/>
      <c r="F52" s="11"/>
      <c r="G52" s="6"/>
      <c r="H52" s="6"/>
      <c r="I52" s="6"/>
      <c r="J52" s="51"/>
      <c r="K52" s="7"/>
      <c r="L52" s="7"/>
      <c r="M52" s="7"/>
      <c r="N52" s="7"/>
      <c r="O52" s="7"/>
      <c r="R52" s="11"/>
    </row>
    <row r="53" spans="1:25" x14ac:dyDescent="0.35">
      <c r="A53" s="62" t="s">
        <v>85</v>
      </c>
      <c r="B53" s="62"/>
      <c r="C53" s="76"/>
      <c r="D53" s="5"/>
      <c r="F53" s="6"/>
      <c r="G53" s="6"/>
      <c r="H53" s="6"/>
      <c r="I53" s="6"/>
      <c r="J53" s="51"/>
      <c r="K53" s="7"/>
      <c r="L53" s="7"/>
      <c r="M53" s="7"/>
      <c r="N53" s="7"/>
      <c r="O53" s="7"/>
      <c r="R53" s="11"/>
      <c r="W53" s="58"/>
      <c r="X53" s="58"/>
      <c r="Y53" s="58"/>
    </row>
    <row r="54" spans="1:25" x14ac:dyDescent="0.35">
      <c r="A54" s="85" t="s">
        <v>181</v>
      </c>
      <c r="B54" s="85"/>
      <c r="C54" s="86" t="s">
        <v>89</v>
      </c>
      <c r="D54" s="79">
        <f>'[1]Authorized Rev Req'!V56-D56</f>
        <v>12284.997950473715</v>
      </c>
      <c r="E54" s="61" t="s">
        <v>25</v>
      </c>
      <c r="F54" s="80">
        <f t="shared" si="0"/>
        <v>12284.997950473715</v>
      </c>
      <c r="G54" s="6">
        <f>F54+2737</f>
        <v>15021.997950473715</v>
      </c>
      <c r="H54" s="80">
        <f>G54+106854</f>
        <v>121875.99795047371</v>
      </c>
      <c r="I54" s="80">
        <f>F54</f>
        <v>12284.997950473715</v>
      </c>
      <c r="J54" s="85" t="s">
        <v>151</v>
      </c>
      <c r="K54" s="81"/>
      <c r="L54" s="81"/>
      <c r="M54" s="7"/>
      <c r="N54" s="7"/>
      <c r="O54" s="7"/>
      <c r="R54" s="11"/>
      <c r="W54" s="58"/>
      <c r="X54" s="58"/>
      <c r="Y54" s="58"/>
    </row>
    <row r="55" spans="1:25" x14ac:dyDescent="0.35">
      <c r="A55" s="85" t="s">
        <v>87</v>
      </c>
      <c r="B55" s="85"/>
      <c r="C55" s="86" t="s">
        <v>88</v>
      </c>
      <c r="D55" s="79">
        <f>'[1]Authorized Rev Req'!V57</f>
        <v>5987.2246923217717</v>
      </c>
      <c r="E55" s="85" t="s">
        <v>22</v>
      </c>
      <c r="F55" s="80">
        <f t="shared" si="0"/>
        <v>5987.2246923217717</v>
      </c>
      <c r="G55" s="80">
        <f t="shared" ref="G55:I55" si="9">F55</f>
        <v>5987.2246923217717</v>
      </c>
      <c r="H55" s="80">
        <f t="shared" si="9"/>
        <v>5987.2246923217717</v>
      </c>
      <c r="I55" s="80">
        <f t="shared" si="9"/>
        <v>5987.2246923217717</v>
      </c>
      <c r="J55" s="85" t="s">
        <v>151</v>
      </c>
      <c r="K55" s="81"/>
      <c r="L55" s="81"/>
      <c r="M55" s="7"/>
      <c r="N55" s="7"/>
      <c r="O55" s="7"/>
      <c r="R55" s="11"/>
      <c r="W55" s="58"/>
      <c r="X55" s="58"/>
      <c r="Y55" s="58"/>
    </row>
    <row r="56" spans="1:25" x14ac:dyDescent="0.35">
      <c r="A56" s="51" t="s">
        <v>182</v>
      </c>
      <c r="C56" s="76" t="s">
        <v>183</v>
      </c>
      <c r="D56" s="5">
        <f>'[2]2022 - Jun Table 2'!$F$66</f>
        <v>10072.410937378341</v>
      </c>
      <c r="E56" s="51" t="s">
        <v>39</v>
      </c>
      <c r="F56" s="6">
        <f t="shared" si="0"/>
        <v>10072.410937378341</v>
      </c>
      <c r="G56" s="6">
        <v>10253</v>
      </c>
      <c r="H56" s="6">
        <f>G56</f>
        <v>10253</v>
      </c>
      <c r="I56" s="6">
        <f>H56</f>
        <v>10253</v>
      </c>
      <c r="J56" s="51" t="s">
        <v>151</v>
      </c>
      <c r="K56" s="7"/>
      <c r="L56" s="7"/>
      <c r="M56" s="7"/>
      <c r="N56" s="7"/>
      <c r="O56" s="7"/>
      <c r="R56" s="7"/>
      <c r="W56" s="58"/>
      <c r="X56" s="58"/>
      <c r="Y56" s="58"/>
    </row>
    <row r="57" spans="1:25" x14ac:dyDescent="0.35">
      <c r="A57" s="85" t="s">
        <v>90</v>
      </c>
      <c r="C57" s="76" t="s">
        <v>183</v>
      </c>
      <c r="D57" s="5">
        <f>'[1]Authorized Rev Req'!V58</f>
        <v>318470.22516050027</v>
      </c>
      <c r="E57" s="51" t="s">
        <v>39</v>
      </c>
      <c r="F57" s="6">
        <f>D57</f>
        <v>318470.22516050027</v>
      </c>
      <c r="G57" s="6">
        <v>400526.10700000002</v>
      </c>
      <c r="H57" s="6">
        <f>G57</f>
        <v>400526.10700000002</v>
      </c>
      <c r="I57" s="6">
        <f>H57</f>
        <v>400526.10700000002</v>
      </c>
      <c r="J57" s="51" t="s">
        <v>151</v>
      </c>
      <c r="K57" s="81"/>
      <c r="L57" s="7"/>
      <c r="M57" s="7"/>
      <c r="N57" s="7"/>
      <c r="O57" s="7"/>
      <c r="R57" s="7"/>
      <c r="W57" s="58"/>
      <c r="X57" s="58"/>
      <c r="Y57" s="58"/>
    </row>
    <row r="58" spans="1:25" x14ac:dyDescent="0.35">
      <c r="A58" s="85" t="s">
        <v>184</v>
      </c>
      <c r="C58" s="76" t="s">
        <v>185</v>
      </c>
      <c r="D58" s="5">
        <f>'[1]Authorized Rev Req'!V59</f>
        <v>13663.633449585868</v>
      </c>
      <c r="E58" s="51" t="s">
        <v>39</v>
      </c>
      <c r="F58" s="6">
        <f>D58</f>
        <v>13663.633449585868</v>
      </c>
      <c r="G58" s="6">
        <f>46487500/1000</f>
        <v>46487.5</v>
      </c>
      <c r="H58" s="6"/>
      <c r="I58" s="6"/>
      <c r="J58" s="51" t="s">
        <v>154</v>
      </c>
      <c r="K58" s="81"/>
      <c r="L58" s="7"/>
      <c r="M58" s="7"/>
      <c r="N58" s="7"/>
      <c r="O58" s="7"/>
      <c r="R58" s="7"/>
      <c r="W58" s="58"/>
      <c r="X58" s="58"/>
      <c r="Y58" s="58"/>
    </row>
    <row r="59" spans="1:25" ht="29" x14ac:dyDescent="0.35">
      <c r="A59" s="87" t="s">
        <v>186</v>
      </c>
      <c r="C59" s="76" t="s">
        <v>187</v>
      </c>
      <c r="D59" s="5">
        <v>0</v>
      </c>
      <c r="E59" s="51" t="s">
        <v>39</v>
      </c>
      <c r="F59" s="6"/>
      <c r="G59" s="6">
        <v>18900</v>
      </c>
      <c r="H59" s="6"/>
      <c r="I59" s="6"/>
      <c r="J59" s="51" t="s">
        <v>154</v>
      </c>
      <c r="K59" s="81"/>
      <c r="L59" s="7"/>
      <c r="M59" s="7"/>
      <c r="N59" s="7"/>
      <c r="O59" s="7"/>
      <c r="R59" s="7"/>
      <c r="W59" s="58"/>
      <c r="X59" s="58"/>
      <c r="Y59" s="58"/>
    </row>
    <row r="60" spans="1:25" x14ac:dyDescent="0.35">
      <c r="A60" s="51" t="s">
        <v>188</v>
      </c>
      <c r="C60" s="76" t="s">
        <v>189</v>
      </c>
      <c r="D60" s="5">
        <v>0</v>
      </c>
      <c r="E60" s="51" t="s">
        <v>39</v>
      </c>
      <c r="F60" s="6">
        <v>0</v>
      </c>
      <c r="G60" s="6">
        <v>543</v>
      </c>
      <c r="H60" s="6">
        <v>0</v>
      </c>
      <c r="I60" s="6">
        <v>0</v>
      </c>
      <c r="J60" s="51" t="s">
        <v>154</v>
      </c>
      <c r="K60" s="7"/>
      <c r="L60" s="7"/>
      <c r="M60" s="7"/>
      <c r="N60" s="7"/>
      <c r="O60" s="7"/>
      <c r="R60" s="7"/>
      <c r="W60" s="58"/>
      <c r="X60" s="58"/>
      <c r="Y60" s="58"/>
    </row>
    <row r="61" spans="1:25" x14ac:dyDescent="0.35">
      <c r="A61" s="85" t="s">
        <v>190</v>
      </c>
      <c r="B61" s="85"/>
      <c r="C61" s="88" t="s">
        <v>191</v>
      </c>
      <c r="D61" s="89">
        <v>0</v>
      </c>
      <c r="E61" s="87" t="s">
        <v>25</v>
      </c>
      <c r="F61" s="80">
        <f t="shared" si="0"/>
        <v>0</v>
      </c>
      <c r="G61" s="89">
        <v>0</v>
      </c>
      <c r="H61" s="80">
        <v>0</v>
      </c>
      <c r="I61" s="80">
        <v>0</v>
      </c>
      <c r="J61" s="85" t="s">
        <v>151</v>
      </c>
      <c r="K61" s="81"/>
      <c r="L61" s="7"/>
      <c r="M61" s="7"/>
      <c r="N61" s="7"/>
      <c r="O61" s="7"/>
      <c r="R61" s="7"/>
      <c r="W61" s="58"/>
      <c r="X61" s="58"/>
      <c r="Y61" s="58"/>
    </row>
    <row r="62" spans="1:25" x14ac:dyDescent="0.35">
      <c r="A62" s="85" t="s">
        <v>192</v>
      </c>
      <c r="B62" s="85"/>
      <c r="C62" s="86" t="s">
        <v>193</v>
      </c>
      <c r="D62" s="79">
        <f>'[1]Authorized Rev Req'!V62</f>
        <v>88094.039167228708</v>
      </c>
      <c r="E62" s="85" t="s">
        <v>39</v>
      </c>
      <c r="F62" s="80">
        <f>D62</f>
        <v>88094.039167228708</v>
      </c>
      <c r="G62" s="80">
        <v>74673.97</v>
      </c>
      <c r="H62" s="80">
        <v>0</v>
      </c>
      <c r="I62" s="80">
        <v>0</v>
      </c>
      <c r="J62" s="90" t="s">
        <v>154</v>
      </c>
      <c r="K62" s="81"/>
      <c r="L62" s="7"/>
      <c r="M62" s="7"/>
      <c r="N62" s="7"/>
      <c r="O62" s="7"/>
      <c r="R62" s="7"/>
      <c r="W62" s="58"/>
      <c r="X62" s="58"/>
      <c r="Y62" s="58"/>
    </row>
    <row r="63" spans="1:25" x14ac:dyDescent="0.35">
      <c r="A63" s="85" t="s">
        <v>194</v>
      </c>
      <c r="B63" s="85"/>
      <c r="C63" s="86" t="s">
        <v>195</v>
      </c>
      <c r="D63" s="79">
        <f>'[1]Authorized Rev Req'!V63</f>
        <v>19267</v>
      </c>
      <c r="E63" s="61" t="s">
        <v>25</v>
      </c>
      <c r="F63" s="80">
        <f t="shared" si="0"/>
        <v>19267</v>
      </c>
      <c r="G63" s="80">
        <v>33313.318893762429</v>
      </c>
      <c r="H63" s="80">
        <v>49959.440175314689</v>
      </c>
      <c r="I63" s="80">
        <v>73461.225349898887</v>
      </c>
      <c r="J63" s="85" t="s">
        <v>151</v>
      </c>
      <c r="K63" s="81"/>
      <c r="L63" s="7"/>
      <c r="M63" s="7"/>
      <c r="N63" s="7"/>
      <c r="O63" s="7"/>
      <c r="W63" s="58"/>
      <c r="X63" s="58"/>
      <c r="Y63" s="58"/>
    </row>
    <row r="64" spans="1:25" x14ac:dyDescent="0.35">
      <c r="A64" s="51" t="s">
        <v>113</v>
      </c>
      <c r="C64" s="76" t="s">
        <v>195</v>
      </c>
      <c r="D64" s="5">
        <f>'[1]Authorized Rev Req'!V71</f>
        <v>12881</v>
      </c>
      <c r="E64" s="57" t="s">
        <v>25</v>
      </c>
      <c r="F64" s="6">
        <f>D64</f>
        <v>12881</v>
      </c>
      <c r="G64" s="6">
        <v>29195.368746698514</v>
      </c>
      <c r="H64" s="6">
        <v>58981.41254297553</v>
      </c>
      <c r="I64" s="6">
        <v>108079.75372974236</v>
      </c>
      <c r="J64" s="51" t="s">
        <v>154</v>
      </c>
      <c r="K64" s="7"/>
      <c r="L64" s="53"/>
      <c r="M64" s="53"/>
      <c r="N64" s="53"/>
      <c r="O64" s="55"/>
      <c r="R64" s="7"/>
      <c r="W64" s="58"/>
      <c r="X64" s="58"/>
      <c r="Y64" s="58"/>
    </row>
    <row r="65" spans="1:25" x14ac:dyDescent="0.35">
      <c r="A65" s="91" t="s">
        <v>106</v>
      </c>
      <c r="C65" s="76" t="s">
        <v>196</v>
      </c>
      <c r="D65" s="5">
        <f>'[1]Authorized Rev Req'!V66</f>
        <v>10221.59708536118</v>
      </c>
      <c r="E65" s="51" t="s">
        <v>39</v>
      </c>
      <c r="F65" s="6">
        <f t="shared" si="0"/>
        <v>10221.59708536118</v>
      </c>
      <c r="G65" s="60">
        <f>9128+1398</f>
        <v>10526</v>
      </c>
      <c r="H65" s="6">
        <f>9003+1452</f>
        <v>10455</v>
      </c>
      <c r="I65" s="6">
        <f>9302+1678</f>
        <v>10980</v>
      </c>
      <c r="J65" s="51" t="s">
        <v>151</v>
      </c>
      <c r="K65" s="55"/>
      <c r="L65" s="55"/>
      <c r="M65" s="55"/>
      <c r="N65" s="55"/>
      <c r="O65" s="92"/>
      <c r="R65" s="7"/>
      <c r="W65" s="58"/>
      <c r="X65" s="58"/>
      <c r="Y65" s="58"/>
    </row>
    <row r="66" spans="1:25" x14ac:dyDescent="0.35">
      <c r="A66" s="51" t="s">
        <v>103</v>
      </c>
      <c r="C66" s="76" t="s">
        <v>196</v>
      </c>
      <c r="D66" s="55">
        <f>'[1]Authorized Rev Req'!V65</f>
        <v>59430.94164554133</v>
      </c>
      <c r="E66" s="57" t="s">
        <v>39</v>
      </c>
      <c r="F66" s="60">
        <f t="shared" si="0"/>
        <v>59430.94164554133</v>
      </c>
      <c r="G66" s="60">
        <v>69127.409</v>
      </c>
      <c r="H66" s="60">
        <v>91154.997000000003</v>
      </c>
      <c r="I66" s="60">
        <v>96372.294999999998</v>
      </c>
      <c r="J66" s="51" t="s">
        <v>151</v>
      </c>
      <c r="K66" s="7"/>
      <c r="L66" s="7"/>
      <c r="M66" s="7"/>
      <c r="N66" s="7"/>
      <c r="O66" s="7"/>
      <c r="R66" s="7"/>
      <c r="W66" s="58"/>
      <c r="X66" s="58"/>
      <c r="Y66" s="58"/>
    </row>
    <row r="67" spans="1:25" x14ac:dyDescent="0.35">
      <c r="A67" s="85" t="s">
        <v>197</v>
      </c>
      <c r="C67" s="51" t="s">
        <v>198</v>
      </c>
      <c r="D67" s="5">
        <f>'[1]Authorized Rev Req'!V60</f>
        <v>25700.148339297579</v>
      </c>
      <c r="E67" s="82" t="s">
        <v>39</v>
      </c>
      <c r="F67" s="6">
        <f>D67</f>
        <v>25700.148339297579</v>
      </c>
      <c r="G67" s="55">
        <f t="shared" ref="G67:I68" si="10">F67</f>
        <v>25700.148339297579</v>
      </c>
      <c r="H67" s="55">
        <f t="shared" si="10"/>
        <v>25700.148339297579</v>
      </c>
      <c r="I67" s="6"/>
      <c r="J67" s="51" t="s">
        <v>154</v>
      </c>
      <c r="K67" s="81"/>
      <c r="L67" s="55"/>
      <c r="M67" s="55"/>
      <c r="N67" s="55"/>
      <c r="O67" s="55"/>
      <c r="R67" s="84"/>
    </row>
    <row r="68" spans="1:25" x14ac:dyDescent="0.35">
      <c r="A68" s="91" t="s">
        <v>105</v>
      </c>
      <c r="C68" s="76" t="s">
        <v>199</v>
      </c>
      <c r="D68" s="5">
        <f>'[1]Authorized Rev Req'!V67</f>
        <v>0</v>
      </c>
      <c r="E68" s="51" t="s">
        <v>39</v>
      </c>
      <c r="F68" s="6">
        <f t="shared" si="0"/>
        <v>0</v>
      </c>
      <c r="G68" s="6">
        <f t="shared" si="10"/>
        <v>0</v>
      </c>
      <c r="H68" s="6">
        <f t="shared" si="10"/>
        <v>0</v>
      </c>
      <c r="I68" s="6">
        <f t="shared" si="10"/>
        <v>0</v>
      </c>
      <c r="J68" s="51" t="s">
        <v>151</v>
      </c>
      <c r="K68" s="7"/>
      <c r="L68" s="7"/>
      <c r="M68" s="7"/>
      <c r="N68" s="7"/>
      <c r="O68" s="55"/>
      <c r="R68" s="55"/>
      <c r="W68" s="58"/>
      <c r="X68" s="58"/>
      <c r="Y68" s="58"/>
    </row>
    <row r="69" spans="1:25" x14ac:dyDescent="0.35">
      <c r="A69" s="51" t="s">
        <v>107</v>
      </c>
      <c r="C69" s="51" t="s">
        <v>110</v>
      </c>
      <c r="D69" s="5">
        <f>'[1]Authorized Rev Req'!V68</f>
        <v>75098.362993066301</v>
      </c>
      <c r="E69" s="51" t="s">
        <v>39</v>
      </c>
      <c r="F69" s="6">
        <f>D69</f>
        <v>75098.362993066301</v>
      </c>
      <c r="G69" s="6">
        <v>76885</v>
      </c>
      <c r="H69" s="6">
        <f>G69</f>
        <v>76885</v>
      </c>
      <c r="I69" s="6">
        <f>H69</f>
        <v>76885</v>
      </c>
      <c r="J69" s="51" t="s">
        <v>151</v>
      </c>
      <c r="K69" s="7"/>
      <c r="L69" s="7"/>
      <c r="M69" s="7"/>
      <c r="N69" s="7"/>
      <c r="O69" s="55"/>
      <c r="W69" s="58"/>
      <c r="X69" s="58"/>
      <c r="Y69" s="58"/>
    </row>
    <row r="70" spans="1:25" x14ac:dyDescent="0.35">
      <c r="A70" s="85" t="s">
        <v>109</v>
      </c>
      <c r="C70" s="76" t="s">
        <v>112</v>
      </c>
      <c r="D70" s="5">
        <f>'[1]Authorized Rev Req'!V69</f>
        <v>56626.343990883157</v>
      </c>
      <c r="E70" s="51" t="s">
        <v>39</v>
      </c>
      <c r="F70" s="6">
        <f t="shared" si="0"/>
        <v>56626.343990883157</v>
      </c>
      <c r="G70" s="6">
        <f t="shared" ref="G70:H70" si="11">F70</f>
        <v>56626.343990883157</v>
      </c>
      <c r="H70" s="6">
        <f t="shared" si="11"/>
        <v>56626.343990883157</v>
      </c>
      <c r="I70" s="6">
        <v>0</v>
      </c>
      <c r="J70" s="51" t="s">
        <v>151</v>
      </c>
      <c r="K70" s="81"/>
      <c r="L70" s="53"/>
      <c r="M70" s="53"/>
      <c r="N70" s="53"/>
      <c r="O70" s="55"/>
      <c r="R70" s="93"/>
      <c r="W70" s="58"/>
      <c r="X70" s="58"/>
      <c r="Y70" s="58"/>
    </row>
    <row r="71" spans="1:25" x14ac:dyDescent="0.35">
      <c r="D71" s="84"/>
      <c r="E71" s="82"/>
      <c r="F71" s="11"/>
      <c r="G71" s="6"/>
      <c r="H71" s="6"/>
      <c r="I71" s="6"/>
      <c r="J71" s="84"/>
      <c r="K71" s="7"/>
      <c r="L71" s="55"/>
      <c r="M71" s="55"/>
      <c r="N71" s="55"/>
      <c r="O71" s="55"/>
      <c r="R71" s="93"/>
    </row>
    <row r="72" spans="1:25" x14ac:dyDescent="0.35">
      <c r="A72" s="62" t="s">
        <v>117</v>
      </c>
      <c r="D72" s="6"/>
      <c r="F72" s="6"/>
      <c r="G72" s="6"/>
      <c r="H72" s="6"/>
      <c r="I72" s="6"/>
      <c r="K72" s="7"/>
      <c r="L72" s="11"/>
      <c r="M72" s="11"/>
      <c r="N72" s="11"/>
      <c r="O72" s="11"/>
    </row>
    <row r="73" spans="1:25" x14ac:dyDescent="0.35">
      <c r="A73" s="51" t="s">
        <v>200</v>
      </c>
      <c r="C73" s="76" t="s">
        <v>123</v>
      </c>
      <c r="D73" s="6">
        <f>'[1]Authorized Rev Req'!V77</f>
        <v>-145519.42030802707</v>
      </c>
      <c r="E73" s="51" t="s">
        <v>121</v>
      </c>
      <c r="F73" s="6">
        <f>D73</f>
        <v>-145519.42030802707</v>
      </c>
      <c r="G73" s="6"/>
      <c r="H73" s="6"/>
      <c r="I73" s="6">
        <f t="shared" ref="I73:I78" si="12">H73</f>
        <v>0</v>
      </c>
      <c r="J73" s="51" t="s">
        <v>154</v>
      </c>
      <c r="K73" s="7"/>
      <c r="L73" s="11"/>
      <c r="M73" s="11"/>
      <c r="N73" s="11"/>
      <c r="O73" s="11"/>
    </row>
    <row r="74" spans="1:25" x14ac:dyDescent="0.35">
      <c r="A74" s="85" t="s">
        <v>201</v>
      </c>
      <c r="C74" s="51" t="s">
        <v>125</v>
      </c>
      <c r="D74" s="6">
        <f>'[1]Authorized Rev Req'!V78</f>
        <v>446976</v>
      </c>
      <c r="E74" s="51" t="s">
        <v>121</v>
      </c>
      <c r="F74" s="6">
        <f>D74</f>
        <v>446976</v>
      </c>
      <c r="G74" s="6">
        <f>$F$74</f>
        <v>446976</v>
      </c>
      <c r="H74" s="6">
        <f>$F$74</f>
        <v>446976</v>
      </c>
      <c r="I74" s="6">
        <f t="shared" si="12"/>
        <v>446976</v>
      </c>
      <c r="J74" s="51" t="s">
        <v>151</v>
      </c>
      <c r="K74" s="81"/>
      <c r="L74" s="11"/>
      <c r="M74" s="11"/>
      <c r="N74" s="11"/>
      <c r="O74" s="11"/>
    </row>
    <row r="75" spans="1:25" x14ac:dyDescent="0.35">
      <c r="A75" s="51" t="s">
        <v>124</v>
      </c>
      <c r="C75" s="94" t="s">
        <v>127</v>
      </c>
      <c r="D75" s="6">
        <f>'[1]Authorized Rev Req'!V79</f>
        <v>1412488.8840000001</v>
      </c>
      <c r="E75" s="82" t="s">
        <v>128</v>
      </c>
      <c r="F75" s="6">
        <f t="shared" ref="F75:F78" si="13">D75</f>
        <v>1412488.8840000001</v>
      </c>
      <c r="G75" s="6">
        <f t="shared" ref="G75:H78" si="14">F75</f>
        <v>1412488.8840000001</v>
      </c>
      <c r="H75" s="6">
        <f>G75</f>
        <v>1412488.8840000001</v>
      </c>
      <c r="I75" s="6">
        <f t="shared" si="12"/>
        <v>1412488.8840000001</v>
      </c>
      <c r="J75" s="51" t="s">
        <v>151</v>
      </c>
      <c r="K75" s="7"/>
      <c r="L75" s="11"/>
      <c r="M75" s="11"/>
      <c r="N75" s="11"/>
      <c r="O75" s="11"/>
      <c r="Q75" s="55"/>
    </row>
    <row r="76" spans="1:25" ht="16.5" customHeight="1" x14ac:dyDescent="0.35">
      <c r="A76" s="51" t="s">
        <v>202</v>
      </c>
      <c r="C76" s="76" t="s">
        <v>130</v>
      </c>
      <c r="D76" s="6">
        <f>'[1]Authorized Rev Req'!V80</f>
        <v>-112518</v>
      </c>
      <c r="E76" s="51" t="s">
        <v>131</v>
      </c>
      <c r="F76" s="6">
        <f t="shared" si="13"/>
        <v>-112518</v>
      </c>
      <c r="G76" s="6">
        <f t="shared" si="14"/>
        <v>-112518</v>
      </c>
      <c r="H76" s="6">
        <f t="shared" si="14"/>
        <v>-112518</v>
      </c>
      <c r="I76" s="6">
        <f t="shared" si="12"/>
        <v>-112518</v>
      </c>
      <c r="J76" s="51" t="s">
        <v>151</v>
      </c>
      <c r="K76" s="7"/>
      <c r="L76" s="11"/>
      <c r="M76" s="95"/>
      <c r="N76" s="95"/>
      <c r="O76" s="95"/>
      <c r="Q76" s="55"/>
    </row>
    <row r="77" spans="1:25" ht="16.5" customHeight="1" x14ac:dyDescent="0.35">
      <c r="A77" s="51" t="s">
        <v>203</v>
      </c>
      <c r="C77" s="76" t="s">
        <v>133</v>
      </c>
      <c r="D77" s="6">
        <f>'[1]Authorized Rev Req'!V81</f>
        <v>-66884</v>
      </c>
      <c r="E77" s="51" t="s">
        <v>131</v>
      </c>
      <c r="F77" s="6">
        <f t="shared" si="13"/>
        <v>-66884</v>
      </c>
      <c r="G77" s="6">
        <f t="shared" si="14"/>
        <v>-66884</v>
      </c>
      <c r="H77" s="6">
        <f t="shared" si="14"/>
        <v>-66884</v>
      </c>
      <c r="I77" s="6">
        <f t="shared" si="12"/>
        <v>-66884</v>
      </c>
      <c r="J77" s="51" t="s">
        <v>151</v>
      </c>
      <c r="K77" s="7"/>
      <c r="L77" s="11"/>
      <c r="M77" s="84"/>
      <c r="N77" s="84"/>
      <c r="O77" s="84"/>
    </row>
    <row r="78" spans="1:25" x14ac:dyDescent="0.35">
      <c r="A78" s="51" t="s">
        <v>204</v>
      </c>
      <c r="C78" s="76" t="s">
        <v>135</v>
      </c>
      <c r="D78" s="6">
        <f>'[1]Authorized Rev Req'!V82</f>
        <v>156958.16999999998</v>
      </c>
      <c r="E78" s="51" t="s">
        <v>131</v>
      </c>
      <c r="F78" s="6">
        <f t="shared" si="13"/>
        <v>156958.16999999998</v>
      </c>
      <c r="G78" s="6">
        <f t="shared" si="14"/>
        <v>156958.16999999998</v>
      </c>
      <c r="H78" s="6">
        <f t="shared" si="14"/>
        <v>156958.16999999998</v>
      </c>
      <c r="I78" s="6">
        <f t="shared" si="12"/>
        <v>156958.16999999998</v>
      </c>
      <c r="J78" s="51" t="s">
        <v>151</v>
      </c>
    </row>
    <row r="79" spans="1:25" ht="15" thickBot="1" x14ac:dyDescent="0.4">
      <c r="A79" s="62" t="s">
        <v>134</v>
      </c>
      <c r="D79" s="96">
        <f>SUM(D10:D78)</f>
        <v>15170276.63727369</v>
      </c>
      <c r="F79" s="96">
        <f>SUM(F10:F78)</f>
        <v>15170276.63727369</v>
      </c>
      <c r="G79" s="96">
        <f>SUM(G10:G78)</f>
        <v>16099987.913318964</v>
      </c>
      <c r="H79" s="96">
        <f>SUM(H10:H78)</f>
        <v>14975754.423920192</v>
      </c>
      <c r="I79" s="96">
        <f>SUM(I10:I78)</f>
        <v>14553506.665830266</v>
      </c>
      <c r="J79" s="51"/>
    </row>
    <row r="80" spans="1:25" ht="15" thickTop="1" x14ac:dyDescent="0.35">
      <c r="A80" s="51" t="s">
        <v>137</v>
      </c>
      <c r="D80" s="6">
        <f>'[1]Authorized Rev Req'!T84</f>
        <v>100182.76671373259</v>
      </c>
      <c r="E80" s="51" t="s">
        <v>137</v>
      </c>
      <c r="F80" s="6">
        <f t="shared" ref="F80" si="15">D80</f>
        <v>100182.76671373259</v>
      </c>
      <c r="G80" s="6">
        <f>F80</f>
        <v>100182.76671373259</v>
      </c>
      <c r="H80" s="6">
        <f t="shared" ref="H80:I80" si="16">G80</f>
        <v>100182.76671373259</v>
      </c>
      <c r="I80" s="6">
        <f t="shared" si="16"/>
        <v>100182.76671373259</v>
      </c>
      <c r="J80" s="51"/>
    </row>
    <row r="81" spans="1:21" x14ac:dyDescent="0.35">
      <c r="D81" s="52">
        <f>SUM(D79:D80)</f>
        <v>15270459.403987423</v>
      </c>
      <c r="E81" s="51" t="s">
        <v>247</v>
      </c>
      <c r="F81" s="52">
        <f t="shared" ref="F81:I81" si="17">SUM(F79:F80)</f>
        <v>15270459.403987423</v>
      </c>
      <c r="G81" s="52">
        <f t="shared" si="17"/>
        <v>16200170.680032697</v>
      </c>
      <c r="H81" s="52">
        <f t="shared" si="17"/>
        <v>15075937.190633925</v>
      </c>
      <c r="I81" s="52">
        <f t="shared" si="17"/>
        <v>14653689.432543999</v>
      </c>
      <c r="K81" s="54"/>
      <c r="P81" s="55"/>
    </row>
    <row r="82" spans="1:21" x14ac:dyDescent="0.35">
      <c r="D82" s="55">
        <f>-'[1]Authorized Rev Req'!V86+D79</f>
        <v>0</v>
      </c>
      <c r="F82" s="55">
        <f>F81-D81</f>
        <v>0</v>
      </c>
      <c r="G82" s="56"/>
      <c r="H82" s="56"/>
      <c r="I82" s="56"/>
      <c r="K82" s="54"/>
      <c r="P82" s="55"/>
    </row>
    <row r="83" spans="1:21" x14ac:dyDescent="0.35">
      <c r="F83" s="60"/>
      <c r="Q83" s="62" t="s">
        <v>205</v>
      </c>
      <c r="R83" s="62"/>
      <c r="S83" s="62"/>
    </row>
    <row r="84" spans="1:21" ht="32.25" customHeight="1" x14ac:dyDescent="0.35">
      <c r="A84" s="97" t="s">
        <v>206</v>
      </c>
      <c r="B84" s="98"/>
      <c r="C84" s="98"/>
      <c r="D84" s="98"/>
      <c r="E84" s="99"/>
      <c r="F84" s="98"/>
      <c r="G84" s="98"/>
      <c r="H84" s="98"/>
      <c r="I84" s="98"/>
      <c r="J84" s="69"/>
      <c r="K84" s="69"/>
      <c r="L84" s="69"/>
      <c r="M84" s="69"/>
      <c r="N84" s="69"/>
      <c r="O84" s="69"/>
      <c r="R84" s="75">
        <v>2022</v>
      </c>
      <c r="S84" s="75">
        <v>2023</v>
      </c>
      <c r="T84" s="75">
        <v>2024</v>
      </c>
      <c r="U84" s="75">
        <v>2025</v>
      </c>
    </row>
    <row r="85" spans="1:21" ht="58" x14ac:dyDescent="0.35">
      <c r="A85" s="100" t="s">
        <v>12</v>
      </c>
      <c r="B85" s="100" t="s">
        <v>146</v>
      </c>
      <c r="C85" s="101" t="s">
        <v>207</v>
      </c>
      <c r="D85" s="101" t="s">
        <v>208</v>
      </c>
      <c r="E85" s="101" t="s">
        <v>209</v>
      </c>
      <c r="F85" s="69">
        <v>2022</v>
      </c>
      <c r="G85" s="69">
        <v>2023</v>
      </c>
      <c r="H85" s="69">
        <v>2024</v>
      </c>
      <c r="I85" s="69">
        <v>2025</v>
      </c>
      <c r="J85" s="101" t="s">
        <v>148</v>
      </c>
      <c r="K85" s="102"/>
      <c r="L85" s="102"/>
      <c r="M85" s="102"/>
      <c r="N85" s="102"/>
      <c r="O85" s="102"/>
      <c r="P85" s="103"/>
      <c r="Q85" s="51" t="s">
        <v>22</v>
      </c>
      <c r="R85" s="77">
        <f t="shared" ref="R85:R96" si="18">R10+SUMIFS(K$87:K$122,$O$87:$O$122,"Y",$E$87:$E$122,$Q85)</f>
        <v>5016250.014703501</v>
      </c>
      <c r="S85" s="77">
        <f t="shared" ref="S85:S96" si="19">S10+SUMIFS(L$87:L$122,$O$87:$O$122,"Y",$E$87:$E$122,$Q85)</f>
        <v>5340826.2461784873</v>
      </c>
      <c r="T85" s="77">
        <f t="shared" ref="T85:T96" si="20">T10+SUMIFS(M$87:M$122,$O$87:$O$122,"Y",$E$87:$E$122,$Q85)</f>
        <v>5192934.1749486784</v>
      </c>
      <c r="U85" s="77">
        <f t="shared" ref="U85:U96" si="21">U10+SUMIFS(N$87:N$122,$O$87:$O$122,"Y",$E$87:$E$122,$Q85)</f>
        <v>5192934.1749486784</v>
      </c>
    </row>
    <row r="86" spans="1:21" x14ac:dyDescent="0.35">
      <c r="A86" s="62" t="s">
        <v>18</v>
      </c>
      <c r="C86" s="82"/>
      <c r="D86" s="82"/>
      <c r="E86" s="82"/>
      <c r="J86" s="51"/>
      <c r="K86" s="51">
        <v>2022</v>
      </c>
      <c r="L86" s="51">
        <v>2023</v>
      </c>
      <c r="M86" s="51">
        <v>2024</v>
      </c>
      <c r="N86" s="51">
        <v>2025</v>
      </c>
      <c r="O86" s="72" t="s">
        <v>210</v>
      </c>
      <c r="Q86" s="51" t="s">
        <v>24</v>
      </c>
      <c r="R86" s="7">
        <f t="shared" si="18"/>
        <v>742010.69008097658</v>
      </c>
      <c r="S86" s="7">
        <f t="shared" si="19"/>
        <v>407514.30624240369</v>
      </c>
      <c r="T86" s="7">
        <f t="shared" si="20"/>
        <v>411563.26167672931</v>
      </c>
      <c r="U86" s="77">
        <f t="shared" si="21"/>
        <v>411563.26167672931</v>
      </c>
    </row>
    <row r="87" spans="1:21" x14ac:dyDescent="0.35">
      <c r="A87" s="51" t="s">
        <v>211</v>
      </c>
      <c r="B87" s="51" t="s">
        <v>212</v>
      </c>
      <c r="C87" s="51" t="s">
        <v>213</v>
      </c>
      <c r="D87" s="84">
        <f>H87</f>
        <v>39614</v>
      </c>
      <c r="E87" s="57" t="s">
        <v>22</v>
      </c>
      <c r="F87" s="6"/>
      <c r="H87" s="6">
        <v>39614</v>
      </c>
      <c r="I87" s="6">
        <v>39614</v>
      </c>
      <c r="J87" s="51" t="s">
        <v>154</v>
      </c>
      <c r="K87" s="55">
        <f t="shared" ref="K87:N92" si="22">F87</f>
        <v>0</v>
      </c>
      <c r="L87" s="55">
        <f t="shared" si="22"/>
        <v>0</v>
      </c>
      <c r="M87" s="55">
        <f t="shared" si="22"/>
        <v>39614</v>
      </c>
      <c r="N87" s="55">
        <f t="shared" si="22"/>
        <v>39614</v>
      </c>
      <c r="O87" s="92" t="str">
        <f>VLOOKUP('Incremental Rev Req'!A87,[1]Summary!$B$8:$D$34,3,FALSE)</f>
        <v>y</v>
      </c>
      <c r="Q87" s="51" t="s">
        <v>25</v>
      </c>
      <c r="R87" s="104">
        <f t="shared" si="18"/>
        <v>7559501.2339969613</v>
      </c>
      <c r="S87" s="104">
        <f t="shared" si="19"/>
        <v>8940378.2440184671</v>
      </c>
      <c r="T87" s="104">
        <f t="shared" si="20"/>
        <v>9551124.4412417896</v>
      </c>
      <c r="U87" s="77">
        <f t="shared" si="21"/>
        <v>8546739.8774820454</v>
      </c>
    </row>
    <row r="88" spans="1:21" x14ac:dyDescent="0.35">
      <c r="A88" s="51" t="s">
        <v>211</v>
      </c>
      <c r="B88" s="51" t="s">
        <v>212</v>
      </c>
      <c r="C88" s="51" t="s">
        <v>213</v>
      </c>
      <c r="D88" s="84">
        <f t="shared" ref="D88" si="23">H88</f>
        <v>312</v>
      </c>
      <c r="E88" s="57" t="s">
        <v>24</v>
      </c>
      <c r="F88" s="6"/>
      <c r="H88" s="6">
        <v>312</v>
      </c>
      <c r="I88" s="6">
        <v>312</v>
      </c>
      <c r="J88" s="51" t="s">
        <v>154</v>
      </c>
      <c r="K88" s="55">
        <f t="shared" si="22"/>
        <v>0</v>
      </c>
      <c r="L88" s="55">
        <f t="shared" si="22"/>
        <v>0</v>
      </c>
      <c r="M88" s="55">
        <f t="shared" si="22"/>
        <v>312</v>
      </c>
      <c r="N88" s="55">
        <f t="shared" si="22"/>
        <v>312</v>
      </c>
      <c r="O88" s="92" t="str">
        <f>VLOOKUP('Incremental Rev Req'!A88,[1]Summary!$B$8:$D$34,3,FALSE)</f>
        <v>y</v>
      </c>
      <c r="Q88" s="51" t="s">
        <v>37</v>
      </c>
      <c r="R88" s="104">
        <f t="shared" si="18"/>
        <v>-647824</v>
      </c>
      <c r="S88" s="104">
        <f t="shared" si="19"/>
        <v>-746828.59299999999</v>
      </c>
      <c r="T88" s="104">
        <f t="shared" si="20"/>
        <v>-746828.59299999999</v>
      </c>
      <c r="U88" s="77">
        <f t="shared" si="21"/>
        <v>-746828.59299999999</v>
      </c>
    </row>
    <row r="89" spans="1:21" x14ac:dyDescent="0.35">
      <c r="A89" s="51" t="s">
        <v>211</v>
      </c>
      <c r="B89" s="51" t="s">
        <v>212</v>
      </c>
      <c r="C89" s="51" t="s">
        <v>213</v>
      </c>
      <c r="D89" s="84">
        <f>H89</f>
        <v>931419</v>
      </c>
      <c r="E89" s="51" t="s">
        <v>25</v>
      </c>
      <c r="F89" s="6"/>
      <c r="G89" s="6">
        <v>0</v>
      </c>
      <c r="H89" s="6">
        <v>931419</v>
      </c>
      <c r="I89" s="6">
        <v>931419</v>
      </c>
      <c r="J89" s="51" t="s">
        <v>154</v>
      </c>
      <c r="K89" s="55">
        <f t="shared" si="22"/>
        <v>0</v>
      </c>
      <c r="L89" s="55">
        <f t="shared" si="22"/>
        <v>0</v>
      </c>
      <c r="M89" s="55">
        <f t="shared" si="22"/>
        <v>931419</v>
      </c>
      <c r="N89" s="55">
        <f t="shared" si="22"/>
        <v>931419</v>
      </c>
      <c r="O89" s="92" t="str">
        <f>VLOOKUP('Incremental Rev Req'!A89,[1]Summary!$B$8:$D$34,3,FALSE)</f>
        <v>y</v>
      </c>
      <c r="Q89" s="51" t="s">
        <v>38</v>
      </c>
      <c r="R89" s="104">
        <f t="shared" si="18"/>
        <v>7878.0249812341499</v>
      </c>
      <c r="S89" s="104">
        <f t="shared" si="19"/>
        <v>4740.2184171534518</v>
      </c>
      <c r="T89" s="104">
        <f t="shared" si="20"/>
        <v>4740.2184171534518</v>
      </c>
      <c r="U89" s="77">
        <f t="shared" si="21"/>
        <v>4740.2184171534518</v>
      </c>
    </row>
    <row r="90" spans="1:21" x14ac:dyDescent="0.35">
      <c r="A90" s="51" t="s">
        <v>214</v>
      </c>
      <c r="B90" s="51" t="s">
        <v>215</v>
      </c>
      <c r="C90" s="51" t="s">
        <v>213</v>
      </c>
      <c r="D90" s="13">
        <v>132148</v>
      </c>
      <c r="E90" s="82" t="s">
        <v>25</v>
      </c>
      <c r="F90" s="6"/>
      <c r="G90" s="6">
        <v>132148</v>
      </c>
      <c r="H90" s="6">
        <v>132148</v>
      </c>
      <c r="I90" s="6"/>
      <c r="J90" s="51" t="s">
        <v>154</v>
      </c>
      <c r="K90" s="55">
        <f>F90</f>
        <v>0</v>
      </c>
      <c r="L90" s="55">
        <f>G90</f>
        <v>132148</v>
      </c>
      <c r="M90" s="55">
        <f t="shared" si="22"/>
        <v>132148</v>
      </c>
      <c r="N90" s="55">
        <f t="shared" si="22"/>
        <v>0</v>
      </c>
      <c r="O90" s="92" t="str">
        <f>VLOOKUP('Incremental Rev Req'!A90,[1]Summary!$B$8:$D$34,3,FALSE)</f>
        <v>y</v>
      </c>
      <c r="Q90" s="51" t="s">
        <v>39</v>
      </c>
      <c r="R90" s="104">
        <f t="shared" si="18"/>
        <v>749493.57158317999</v>
      </c>
      <c r="S90" s="104">
        <f t="shared" si="19"/>
        <v>873637.41378564434</v>
      </c>
      <c r="T90" s="104">
        <f t="shared" si="20"/>
        <v>762733.54789190087</v>
      </c>
      <c r="U90" s="77">
        <f t="shared" si="21"/>
        <v>698200.35356172</v>
      </c>
    </row>
    <row r="91" spans="1:21" x14ac:dyDescent="0.35">
      <c r="A91" s="51" t="s">
        <v>216</v>
      </c>
      <c r="B91" s="51" t="s">
        <v>217</v>
      </c>
      <c r="C91" s="51" t="s">
        <v>213</v>
      </c>
      <c r="D91" s="13">
        <v>327000</v>
      </c>
      <c r="E91" s="82" t="s">
        <v>25</v>
      </c>
      <c r="F91" s="6"/>
      <c r="G91" s="6">
        <v>327000</v>
      </c>
      <c r="H91" s="6">
        <f>D91</f>
        <v>327000</v>
      </c>
      <c r="I91" s="6"/>
      <c r="J91" s="51" t="s">
        <v>154</v>
      </c>
      <c r="K91" s="55">
        <f t="shared" ref="K91:N95" si="24">F91</f>
        <v>0</v>
      </c>
      <c r="L91" s="55">
        <f t="shared" si="24"/>
        <v>327000</v>
      </c>
      <c r="M91" s="55">
        <f t="shared" si="22"/>
        <v>327000</v>
      </c>
      <c r="N91" s="55">
        <f t="shared" si="22"/>
        <v>0</v>
      </c>
      <c r="O91" s="92" t="str">
        <f>VLOOKUP('Incremental Rev Req'!A91,[1]Summary!$B$8:$D$34,3,FALSE)</f>
        <v>y</v>
      </c>
      <c r="Q91" s="51" t="s">
        <v>156</v>
      </c>
      <c r="R91" s="104">
        <f t="shared" si="18"/>
        <v>0</v>
      </c>
      <c r="S91" s="104">
        <f t="shared" si="19"/>
        <v>0</v>
      </c>
      <c r="T91" s="104">
        <f t="shared" si="20"/>
        <v>0</v>
      </c>
      <c r="U91" s="77">
        <f t="shared" si="21"/>
        <v>0</v>
      </c>
    </row>
    <row r="92" spans="1:21" x14ac:dyDescent="0.35">
      <c r="A92" s="51" t="s">
        <v>218</v>
      </c>
      <c r="B92" s="51" t="s">
        <v>219</v>
      </c>
      <c r="C92" s="51" t="s">
        <v>213</v>
      </c>
      <c r="D92" s="84">
        <v>214500</v>
      </c>
      <c r="E92" s="51" t="s">
        <v>25</v>
      </c>
      <c r="G92" s="6">
        <f>D92</f>
        <v>214500</v>
      </c>
      <c r="H92" s="6"/>
      <c r="I92" s="6"/>
      <c r="J92" s="51" t="s">
        <v>154</v>
      </c>
      <c r="K92" s="11"/>
      <c r="L92" s="55">
        <f t="shared" si="24"/>
        <v>214500</v>
      </c>
      <c r="M92" s="11">
        <f t="shared" si="22"/>
        <v>0</v>
      </c>
      <c r="N92" s="11">
        <f t="shared" si="22"/>
        <v>0</v>
      </c>
      <c r="O92" s="92" t="str">
        <f>VLOOKUP('Incremental Rev Req'!A92,[1]Summary!$B$8:$D$34,3,FALSE)</f>
        <v>y</v>
      </c>
      <c r="Q92" s="51" t="s">
        <v>121</v>
      </c>
      <c r="R92" s="104">
        <f t="shared" si="18"/>
        <v>301456.57969197293</v>
      </c>
      <c r="S92" s="104">
        <f t="shared" si="19"/>
        <v>446976</v>
      </c>
      <c r="T92" s="104">
        <f t="shared" si="20"/>
        <v>446976</v>
      </c>
      <c r="U92" s="77">
        <f t="shared" si="21"/>
        <v>446976</v>
      </c>
    </row>
    <row r="93" spans="1:21" x14ac:dyDescent="0.35">
      <c r="A93" s="51" t="s">
        <v>220</v>
      </c>
      <c r="B93" s="51" t="s">
        <v>221</v>
      </c>
      <c r="C93" s="51" t="s">
        <v>213</v>
      </c>
      <c r="D93" s="84">
        <f>G93</f>
        <v>22663</v>
      </c>
      <c r="E93" s="82" t="s">
        <v>25</v>
      </c>
      <c r="F93" s="6"/>
      <c r="G93" s="6">
        <v>22663</v>
      </c>
      <c r="H93" s="60"/>
      <c r="I93" s="60"/>
      <c r="J93" s="51" t="s">
        <v>154</v>
      </c>
      <c r="K93" s="11">
        <f t="shared" ref="K93:K94" si="25">F93</f>
        <v>0</v>
      </c>
      <c r="L93" s="11">
        <f t="shared" si="24"/>
        <v>22663</v>
      </c>
      <c r="M93" s="11">
        <f t="shared" si="24"/>
        <v>0</v>
      </c>
      <c r="N93" s="11"/>
      <c r="O93" s="92" t="str">
        <f>VLOOKUP('Incremental Rev Req'!A93,[1]Summary!$B$8:$D$34,3,FALSE)</f>
        <v>y</v>
      </c>
      <c r="Q93" s="82" t="s">
        <v>128</v>
      </c>
      <c r="R93" s="104">
        <f t="shared" si="18"/>
        <v>1412488.8840000001</v>
      </c>
      <c r="S93" s="104">
        <f t="shared" si="19"/>
        <v>1412488.8840000001</v>
      </c>
      <c r="T93" s="104">
        <f t="shared" si="20"/>
        <v>1412488.8840000001</v>
      </c>
      <c r="U93" s="77">
        <f t="shared" si="21"/>
        <v>1412488.8840000001</v>
      </c>
    </row>
    <row r="94" spans="1:21" x14ac:dyDescent="0.35">
      <c r="A94" s="51" t="s">
        <v>220</v>
      </c>
      <c r="B94" s="51" t="s">
        <v>221</v>
      </c>
      <c r="C94" s="51" t="s">
        <v>213</v>
      </c>
      <c r="D94" s="84">
        <f>G94</f>
        <v>25142</v>
      </c>
      <c r="E94" s="57" t="s">
        <v>39</v>
      </c>
      <c r="F94" s="6"/>
      <c r="G94" s="6">
        <v>25142</v>
      </c>
      <c r="H94" s="60"/>
      <c r="I94" s="60"/>
      <c r="J94" s="51" t="s">
        <v>154</v>
      </c>
      <c r="K94" s="11">
        <f t="shared" si="25"/>
        <v>0</v>
      </c>
      <c r="L94" s="11">
        <f t="shared" si="24"/>
        <v>25142</v>
      </c>
      <c r="M94" s="11">
        <f t="shared" si="24"/>
        <v>0</v>
      </c>
      <c r="N94" s="11"/>
      <c r="O94" s="92" t="str">
        <f>VLOOKUP('Incremental Rev Req'!A94,[1]Summary!$B$8:$D$34,3,FALSE)</f>
        <v>y</v>
      </c>
      <c r="Q94" s="51" t="s">
        <v>131</v>
      </c>
      <c r="R94" s="104">
        <f t="shared" si="18"/>
        <v>-22443.830000000016</v>
      </c>
      <c r="S94" s="104">
        <f t="shared" si="19"/>
        <v>-22443.830000000016</v>
      </c>
      <c r="T94" s="104">
        <f t="shared" si="20"/>
        <v>-22443.830000000016</v>
      </c>
      <c r="U94" s="77">
        <f t="shared" si="21"/>
        <v>-22443.830000000016</v>
      </c>
    </row>
    <row r="95" spans="1:21" x14ac:dyDescent="0.35">
      <c r="A95" s="51" t="s">
        <v>222</v>
      </c>
      <c r="B95" s="51" t="s">
        <v>223</v>
      </c>
      <c r="C95" s="51" t="s">
        <v>213</v>
      </c>
      <c r="D95" s="84">
        <v>25706</v>
      </c>
      <c r="E95" s="57" t="s">
        <v>25</v>
      </c>
      <c r="F95" s="6"/>
      <c r="G95" s="6"/>
      <c r="H95" s="60">
        <f>D95</f>
        <v>25706</v>
      </c>
      <c r="I95" s="60"/>
      <c r="J95" s="51" t="s">
        <v>154</v>
      </c>
      <c r="K95" s="55">
        <f>F95</f>
        <v>0</v>
      </c>
      <c r="L95" s="55">
        <f>G95</f>
        <v>0</v>
      </c>
      <c r="M95" s="55">
        <f t="shared" si="24"/>
        <v>25706</v>
      </c>
      <c r="N95" s="55">
        <f t="shared" si="24"/>
        <v>0</v>
      </c>
      <c r="O95" s="92" t="str">
        <f>VLOOKUP('Incremental Rev Req'!A95,[1]Summary!$B$8:$D$34,3,FALSE)</f>
        <v>y</v>
      </c>
      <c r="Q95" s="51" t="s">
        <v>80</v>
      </c>
      <c r="R95" s="104">
        <f t="shared" si="18"/>
        <v>51465.468235864108</v>
      </c>
      <c r="S95" s="104">
        <f t="shared" si="19"/>
        <v>51465.468235864108</v>
      </c>
      <c r="T95" s="104">
        <f t="shared" si="20"/>
        <v>51465.468235864108</v>
      </c>
      <c r="U95" s="77">
        <f t="shared" si="21"/>
        <v>51465.468235864108</v>
      </c>
    </row>
    <row r="96" spans="1:21" x14ac:dyDescent="0.35">
      <c r="A96" s="51" t="s">
        <v>224</v>
      </c>
      <c r="B96" s="51" t="s">
        <v>225</v>
      </c>
      <c r="C96" s="51" t="s">
        <v>213</v>
      </c>
      <c r="D96" s="5">
        <f>SUM('[3]Table II-2'!$F$11:$F$13,'[3]Table II-2'!$F$16)</f>
        <v>4410147.950256357</v>
      </c>
      <c r="E96" s="57" t="s">
        <v>22</v>
      </c>
      <c r="F96" s="60"/>
      <c r="G96" s="6">
        <f>D96</f>
        <v>4410147.950256357</v>
      </c>
      <c r="H96" s="6">
        <f>G96</f>
        <v>4410147.950256357</v>
      </c>
      <c r="I96" s="6">
        <f>H96</f>
        <v>4410147.950256357</v>
      </c>
      <c r="J96" s="51" t="s">
        <v>151</v>
      </c>
      <c r="K96" s="11"/>
      <c r="L96" s="11">
        <f t="shared" ref="L96:N104" si="26">G96-G22</f>
        <v>631817.95025635697</v>
      </c>
      <c r="M96" s="11">
        <f t="shared" si="26"/>
        <v>631817.95025635697</v>
      </c>
      <c r="N96" s="11">
        <f t="shared" si="26"/>
        <v>631817.95025635697</v>
      </c>
      <c r="O96" s="92" t="str">
        <f>VLOOKUP('Incremental Rev Req'!$A$99,[1]Summary!$B$8:$D$34,3,FALSE)</f>
        <v>y</v>
      </c>
      <c r="Q96" s="12" t="s">
        <v>137</v>
      </c>
      <c r="R96" s="83">
        <f t="shared" si="18"/>
        <v>100182.76671373259</v>
      </c>
      <c r="S96" s="83">
        <f t="shared" si="19"/>
        <v>100182.76671373259</v>
      </c>
      <c r="T96" s="83">
        <f t="shared" si="20"/>
        <v>100182.76671373259</v>
      </c>
      <c r="U96" s="83">
        <f t="shared" si="21"/>
        <v>100182.76671373259</v>
      </c>
    </row>
    <row r="97" spans="1:21" x14ac:dyDescent="0.35">
      <c r="A97" s="51" t="s">
        <v>224</v>
      </c>
      <c r="B97" s="51" t="s">
        <v>225</v>
      </c>
      <c r="C97" s="51" t="s">
        <v>213</v>
      </c>
      <c r="D97" s="5">
        <f>SUM('[3]Table II-2'!$F$23:$F$23)+367946</f>
        <v>348610.44867672934</v>
      </c>
      <c r="E97" s="57" t="s">
        <v>24</v>
      </c>
      <c r="F97" s="60"/>
      <c r="G97" s="6">
        <f t="shared" ref="G97:G104" si="27">D97</f>
        <v>348610.44867672934</v>
      </c>
      <c r="H97" s="6">
        <f t="shared" ref="H97:I104" si="28">G97</f>
        <v>348610.44867672934</v>
      </c>
      <c r="I97" s="6">
        <f t="shared" si="28"/>
        <v>348610.44867672934</v>
      </c>
      <c r="J97" s="51" t="s">
        <v>151</v>
      </c>
      <c r="K97" s="11"/>
      <c r="L97" s="11">
        <f t="shared" si="26"/>
        <v>-259212.55132327066</v>
      </c>
      <c r="M97" s="11">
        <f t="shared" si="26"/>
        <v>-259212.55132327066</v>
      </c>
      <c r="N97" s="11">
        <f t="shared" si="26"/>
        <v>-259212.55132327066</v>
      </c>
      <c r="O97" s="92" t="str">
        <f>VLOOKUP('Incremental Rev Req'!$A$99,[1]Summary!$B$8:$D$34,3,FALSE)</f>
        <v>y</v>
      </c>
      <c r="Q97" s="51" t="s">
        <v>226</v>
      </c>
      <c r="R97" s="5">
        <f>SUM(R85:R96)</f>
        <v>15270459.403987421</v>
      </c>
      <c r="S97" s="5">
        <f>SUM(S85:S96)</f>
        <v>16808937.124591749</v>
      </c>
      <c r="T97" s="5">
        <f>SUM(T85:T96)</f>
        <v>17164936.340125848</v>
      </c>
      <c r="U97" s="77">
        <f>SUM(U85:U96)</f>
        <v>16096018.582035922</v>
      </c>
    </row>
    <row r="98" spans="1:21" x14ac:dyDescent="0.35">
      <c r="A98" s="51" t="s">
        <v>227</v>
      </c>
      <c r="B98" s="51" t="s">
        <v>225</v>
      </c>
      <c r="C98" s="51" t="s">
        <v>213</v>
      </c>
      <c r="D98" s="5">
        <f>'[3]Table II-2'!$F$25</f>
        <v>-5964.3501935582035</v>
      </c>
      <c r="E98" s="57" t="s">
        <v>24</v>
      </c>
      <c r="F98" s="60"/>
      <c r="G98" s="6">
        <f t="shared" si="27"/>
        <v>-5964.3501935582035</v>
      </c>
      <c r="H98" s="6"/>
      <c r="I98" s="6">
        <f t="shared" si="28"/>
        <v>0</v>
      </c>
      <c r="J98" s="51" t="s">
        <v>151</v>
      </c>
      <c r="K98" s="11"/>
      <c r="L98" s="11">
        <f t="shared" si="26"/>
        <v>-75297.645515302313</v>
      </c>
      <c r="M98" s="11">
        <f t="shared" si="26"/>
        <v>0</v>
      </c>
      <c r="N98" s="11">
        <f t="shared" si="26"/>
        <v>0</v>
      </c>
      <c r="O98" s="92" t="str">
        <f>VLOOKUP('Incremental Rev Req'!$A$99,[1]Summary!$B$8:$D$34,3,FALSE)</f>
        <v>y</v>
      </c>
      <c r="Q98" s="51" t="s">
        <v>228</v>
      </c>
      <c r="R98" s="5">
        <f>R97-R22</f>
        <v>0</v>
      </c>
      <c r="S98" s="5">
        <f>S97-S22</f>
        <v>608766.44455905259</v>
      </c>
      <c r="T98" s="5">
        <f>T97-T22</f>
        <v>2088999.1494919267</v>
      </c>
      <c r="U98" s="77">
        <f>U97-U22</f>
        <v>1442329.1494919267</v>
      </c>
    </row>
    <row r="99" spans="1:21" x14ac:dyDescent="0.35">
      <c r="A99" s="51" t="s">
        <v>229</v>
      </c>
      <c r="B99" s="51" t="s">
        <v>225</v>
      </c>
      <c r="C99" s="51" t="s">
        <v>213</v>
      </c>
      <c r="D99" s="5">
        <f>'[3]Table II-2'!$F$34</f>
        <v>-746828.59299999999</v>
      </c>
      <c r="E99" s="57" t="s">
        <v>37</v>
      </c>
      <c r="F99" s="60"/>
      <c r="G99" s="6">
        <f t="shared" si="27"/>
        <v>-746828.59299999999</v>
      </c>
      <c r="H99" s="6">
        <f t="shared" si="28"/>
        <v>-746828.59299999999</v>
      </c>
      <c r="I99" s="6">
        <f t="shared" si="28"/>
        <v>-746828.59299999999</v>
      </c>
      <c r="J99" s="51" t="s">
        <v>151</v>
      </c>
      <c r="K99" s="11"/>
      <c r="L99" s="11">
        <f t="shared" si="26"/>
        <v>-99004.592999999993</v>
      </c>
      <c r="M99" s="11">
        <f t="shared" si="26"/>
        <v>-99004.592999999993</v>
      </c>
      <c r="N99" s="11">
        <f t="shared" si="26"/>
        <v>-99004.592999999993</v>
      </c>
      <c r="O99" s="92" t="str">
        <f>VLOOKUP('Incremental Rev Req'!$A$99,[1]Summary!$B$8:$D$34,3,FALSE)</f>
        <v>y</v>
      </c>
      <c r="R99" s="77"/>
      <c r="S99" s="77"/>
      <c r="T99" s="77"/>
      <c r="U99" s="77"/>
    </row>
    <row r="100" spans="1:21" x14ac:dyDescent="0.35">
      <c r="A100" s="51" t="s">
        <v>229</v>
      </c>
      <c r="B100" s="51" t="s">
        <v>225</v>
      </c>
      <c r="C100" s="51" t="s">
        <v>213</v>
      </c>
      <c r="D100" s="5">
        <f>'[3]Table II-2'!$F$29</f>
        <v>4740.2184171534518</v>
      </c>
      <c r="E100" s="57" t="s">
        <v>38</v>
      </c>
      <c r="F100" s="60"/>
      <c r="G100" s="6">
        <f t="shared" si="27"/>
        <v>4740.2184171534518</v>
      </c>
      <c r="H100" s="6">
        <f t="shared" si="28"/>
        <v>4740.2184171534518</v>
      </c>
      <c r="I100" s="6">
        <f t="shared" si="28"/>
        <v>4740.2184171534518</v>
      </c>
      <c r="J100" s="51" t="s">
        <v>151</v>
      </c>
      <c r="K100" s="11"/>
      <c r="L100" s="11">
        <f t="shared" si="26"/>
        <v>92.21841715345181</v>
      </c>
      <c r="M100" s="11">
        <f t="shared" si="26"/>
        <v>92.21841715345181</v>
      </c>
      <c r="N100" s="11">
        <f t="shared" si="26"/>
        <v>92.21841715345181</v>
      </c>
      <c r="O100" s="92" t="str">
        <f>VLOOKUP('Incremental Rev Req'!$A$99,[1]Summary!$B$8:$D$34,3,FALSE)</f>
        <v>y</v>
      </c>
      <c r="R100" s="104"/>
      <c r="S100" s="104"/>
      <c r="T100" s="104"/>
      <c r="U100" s="77"/>
    </row>
    <row r="101" spans="1:21" x14ac:dyDescent="0.35">
      <c r="A101" s="51" t="s">
        <v>229</v>
      </c>
      <c r="B101" s="51" t="s">
        <v>225</v>
      </c>
      <c r="C101" s="51" t="s">
        <v>213</v>
      </c>
      <c r="D101" s="5">
        <f>'[3]Table II-2'!$F$33</f>
        <v>26515.690047616696</v>
      </c>
      <c r="E101" s="57" t="s">
        <v>25</v>
      </c>
      <c r="F101" s="60"/>
      <c r="G101" s="6">
        <f t="shared" si="27"/>
        <v>26515.690047616696</v>
      </c>
      <c r="H101" s="6">
        <f t="shared" si="28"/>
        <v>26515.690047616696</v>
      </c>
      <c r="I101" s="6">
        <f t="shared" si="28"/>
        <v>26515.690047616696</v>
      </c>
      <c r="J101" s="51" t="s">
        <v>151</v>
      </c>
      <c r="K101" s="11"/>
      <c r="L101" s="11">
        <f t="shared" si="26"/>
        <v>1217.6900476166957</v>
      </c>
      <c r="M101" s="11">
        <f t="shared" si="26"/>
        <v>1217.6900476166957</v>
      </c>
      <c r="N101" s="11">
        <f t="shared" si="26"/>
        <v>1217.6900476166957</v>
      </c>
      <c r="O101" s="92" t="str">
        <f>VLOOKUP('Incremental Rev Req'!$A$99,[1]Summary!$B$8:$D$34,3,FALSE)</f>
        <v>y</v>
      </c>
      <c r="R101" s="5"/>
      <c r="S101" s="5"/>
      <c r="T101" s="5"/>
      <c r="U101" s="5"/>
    </row>
    <row r="102" spans="1:21" x14ac:dyDescent="0.35">
      <c r="A102" s="51" t="s">
        <v>229</v>
      </c>
      <c r="B102" s="51" t="s">
        <v>225</v>
      </c>
      <c r="C102" s="51" t="s">
        <v>213</v>
      </c>
      <c r="D102" s="5">
        <f>'[3]Table II-2'!$F$38</f>
        <v>55854.542094071367</v>
      </c>
      <c r="E102" s="57" t="s">
        <v>39</v>
      </c>
      <c r="F102" s="60"/>
      <c r="G102" s="6">
        <f t="shared" si="27"/>
        <v>55854.542094071367</v>
      </c>
      <c r="H102" s="6">
        <f t="shared" si="28"/>
        <v>55854.542094071367</v>
      </c>
      <c r="I102" s="6">
        <f t="shared" si="28"/>
        <v>55854.542094071367</v>
      </c>
      <c r="J102" s="51" t="s">
        <v>151</v>
      </c>
      <c r="K102" s="11"/>
      <c r="L102" s="11">
        <f t="shared" si="26"/>
        <v>-14289.457905928633</v>
      </c>
      <c r="M102" s="11">
        <f t="shared" si="26"/>
        <v>-14289.457905928633</v>
      </c>
      <c r="N102" s="11">
        <f t="shared" si="26"/>
        <v>-14289.457905928633</v>
      </c>
      <c r="O102" s="92" t="str">
        <f>VLOOKUP('Incremental Rev Req'!$A$99,[1]Summary!$B$8:$D$34,3,FALSE)</f>
        <v>y</v>
      </c>
      <c r="R102" s="104"/>
      <c r="S102" s="104"/>
      <c r="T102" s="104"/>
      <c r="U102" s="77"/>
    </row>
    <row r="103" spans="1:21" x14ac:dyDescent="0.35">
      <c r="A103" s="51" t="s">
        <v>227</v>
      </c>
      <c r="B103" s="51" t="s">
        <v>225</v>
      </c>
      <c r="C103" s="51" t="s">
        <v>213</v>
      </c>
      <c r="D103" s="5">
        <f>SUM('[3]Table II-2'!$F$39:$F$40)</f>
        <v>-14118.851776073414</v>
      </c>
      <c r="E103" s="57" t="s">
        <v>39</v>
      </c>
      <c r="F103" s="60"/>
      <c r="G103" s="6">
        <f t="shared" si="27"/>
        <v>-14118.851776073414</v>
      </c>
      <c r="H103" s="6"/>
      <c r="I103" s="6">
        <f t="shared" si="28"/>
        <v>0</v>
      </c>
      <c r="J103" s="51" t="s">
        <v>151</v>
      </c>
      <c r="K103" s="11"/>
      <c r="L103" s="11">
        <f t="shared" si="26"/>
        <v>34078.815984526431</v>
      </c>
      <c r="M103" s="11">
        <f t="shared" si="26"/>
        <v>0</v>
      </c>
      <c r="N103" s="11">
        <f t="shared" si="26"/>
        <v>0</v>
      </c>
      <c r="O103" s="92" t="str">
        <f>VLOOKUP('Incremental Rev Req'!$A$99,[1]Summary!$B$8:$D$34,3,FALSE)</f>
        <v>y</v>
      </c>
      <c r="R103" s="104"/>
      <c r="S103" s="104"/>
      <c r="T103" s="104"/>
      <c r="U103" s="77"/>
    </row>
    <row r="104" spans="1:21" x14ac:dyDescent="0.35">
      <c r="A104" s="51" t="s">
        <v>230</v>
      </c>
      <c r="B104" s="51" t="s">
        <v>225</v>
      </c>
      <c r="C104" s="51" t="s">
        <v>213</v>
      </c>
      <c r="D104" s="5">
        <f>SUM('[3]Table II-2'!$F$14:$F$15)</f>
        <v>177514.77691301354</v>
      </c>
      <c r="E104" s="51" t="s">
        <v>22</v>
      </c>
      <c r="F104" s="60"/>
      <c r="G104" s="6">
        <f t="shared" si="27"/>
        <v>177514.77691301354</v>
      </c>
      <c r="H104" s="6"/>
      <c r="I104" s="6">
        <f t="shared" si="28"/>
        <v>0</v>
      </c>
      <c r="J104" s="51" t="s">
        <v>151</v>
      </c>
      <c r="K104" s="11"/>
      <c r="L104" s="11">
        <f t="shared" si="26"/>
        <v>-362533.85475929955</v>
      </c>
      <c r="M104" s="11">
        <f t="shared" si="26"/>
        <v>0</v>
      </c>
      <c r="N104" s="11">
        <f t="shared" si="26"/>
        <v>0</v>
      </c>
      <c r="O104" s="92" t="str">
        <f>VLOOKUP('Incremental Rev Req'!$A$99,[1]Summary!$B$8:$D$34,3,FALSE)</f>
        <v>y</v>
      </c>
      <c r="R104" s="104"/>
      <c r="S104" s="104"/>
      <c r="T104" s="104"/>
      <c r="U104" s="77"/>
    </row>
    <row r="105" spans="1:21" x14ac:dyDescent="0.35">
      <c r="A105" s="51" t="s">
        <v>231</v>
      </c>
      <c r="B105" s="51" t="s">
        <v>232</v>
      </c>
      <c r="C105" s="51" t="s">
        <v>213</v>
      </c>
      <c r="D105" s="5">
        <v>38307</v>
      </c>
      <c r="E105" s="82" t="s">
        <v>25</v>
      </c>
      <c r="F105" s="60"/>
      <c r="G105" s="6">
        <v>11996</v>
      </c>
      <c r="H105" s="60"/>
      <c r="I105" s="60"/>
      <c r="J105" s="51" t="s">
        <v>154</v>
      </c>
      <c r="K105" s="11"/>
      <c r="L105" s="11">
        <f>G105</f>
        <v>11996</v>
      </c>
      <c r="M105" s="11"/>
      <c r="N105" s="11"/>
      <c r="O105" s="92" t="str">
        <f>VLOOKUP('Incremental Rev Req'!$A$105,[1]Summary!$B$8:$D$34,3,FALSE)</f>
        <v>y</v>
      </c>
      <c r="R105" s="104"/>
      <c r="S105" s="104"/>
      <c r="T105" s="104"/>
      <c r="U105" s="77"/>
    </row>
    <row r="106" spans="1:21" x14ac:dyDescent="0.35">
      <c r="A106" s="51" t="s">
        <v>231</v>
      </c>
      <c r="B106" s="51" t="s">
        <v>232</v>
      </c>
      <c r="C106" s="51" t="s">
        <v>213</v>
      </c>
      <c r="D106" s="5">
        <v>1259</v>
      </c>
      <c r="E106" s="82" t="s">
        <v>22</v>
      </c>
      <c r="F106" s="60"/>
      <c r="G106" s="6">
        <v>-1073</v>
      </c>
      <c r="H106" s="60"/>
      <c r="I106" s="60"/>
      <c r="J106" s="51" t="s">
        <v>154</v>
      </c>
      <c r="K106" s="11"/>
      <c r="L106" s="11">
        <f t="shared" ref="L106:L108" si="29">G106</f>
        <v>-1073</v>
      </c>
      <c r="M106" s="11"/>
      <c r="N106" s="11"/>
      <c r="O106" s="92" t="str">
        <f>VLOOKUP('Incremental Rev Req'!$A$105,[1]Summary!$B$8:$D$34,3,FALSE)</f>
        <v>y</v>
      </c>
      <c r="R106" s="104"/>
      <c r="S106" s="104"/>
      <c r="T106" s="104"/>
      <c r="U106" s="77"/>
    </row>
    <row r="107" spans="1:21" x14ac:dyDescent="0.35">
      <c r="A107" s="51" t="s">
        <v>231</v>
      </c>
      <c r="B107" s="51" t="s">
        <v>232</v>
      </c>
      <c r="C107" s="51" t="s">
        <v>213</v>
      </c>
      <c r="D107" s="5">
        <v>239</v>
      </c>
      <c r="E107" s="57" t="s">
        <v>24</v>
      </c>
      <c r="F107" s="60"/>
      <c r="G107" s="6">
        <v>14</v>
      </c>
      <c r="H107" s="60"/>
      <c r="I107" s="60"/>
      <c r="J107" s="51" t="s">
        <v>154</v>
      </c>
      <c r="K107" s="11"/>
      <c r="L107" s="11">
        <f t="shared" si="29"/>
        <v>14</v>
      </c>
      <c r="M107" s="11"/>
      <c r="N107" s="11"/>
      <c r="O107" s="92" t="str">
        <f>VLOOKUP('Incremental Rev Req'!$A$105,[1]Summary!$B$8:$D$34,3,FALSE)</f>
        <v>y</v>
      </c>
      <c r="R107" s="55"/>
      <c r="S107" s="104"/>
      <c r="T107" s="108"/>
      <c r="U107" s="104"/>
    </row>
    <row r="108" spans="1:21" x14ac:dyDescent="0.35">
      <c r="A108" s="51" t="s">
        <v>231</v>
      </c>
      <c r="B108" s="51" t="s">
        <v>232</v>
      </c>
      <c r="C108" s="51" t="s">
        <v>213</v>
      </c>
      <c r="D108" s="5">
        <v>1134</v>
      </c>
      <c r="E108" s="82" t="s">
        <v>39</v>
      </c>
      <c r="F108" s="60"/>
      <c r="G108" s="6">
        <v>1611</v>
      </c>
      <c r="H108" s="60"/>
      <c r="I108" s="60"/>
      <c r="J108" s="51" t="s">
        <v>154</v>
      </c>
      <c r="K108" s="11"/>
      <c r="L108" s="11">
        <f t="shared" si="29"/>
        <v>1611</v>
      </c>
      <c r="M108" s="11"/>
      <c r="N108" s="11"/>
      <c r="O108" s="92" t="str">
        <f>VLOOKUP('Incremental Rev Req'!$A$105,[1]Summary!$B$8:$D$34,3,FALSE)</f>
        <v>y</v>
      </c>
      <c r="R108" s="104"/>
      <c r="S108" s="104"/>
      <c r="T108" s="104"/>
      <c r="U108" s="77"/>
    </row>
    <row r="109" spans="1:21" x14ac:dyDescent="0.35">
      <c r="A109" s="51" t="s">
        <v>233</v>
      </c>
      <c r="B109" s="51" t="s">
        <v>234</v>
      </c>
      <c r="C109" s="51" t="s">
        <v>213</v>
      </c>
      <c r="D109" s="13">
        <v>198000</v>
      </c>
      <c r="E109" s="82" t="s">
        <v>25</v>
      </c>
      <c r="F109" s="60"/>
      <c r="G109" s="60"/>
      <c r="H109" s="60">
        <f>D109</f>
        <v>198000</v>
      </c>
      <c r="I109" s="60"/>
      <c r="J109" s="51" t="s">
        <v>154</v>
      </c>
      <c r="K109" s="55">
        <f>F109</f>
        <v>0</v>
      </c>
      <c r="L109" s="55">
        <f>G109</f>
        <v>0</v>
      </c>
      <c r="M109" s="55">
        <f>H109</f>
        <v>198000</v>
      </c>
      <c r="N109" s="55"/>
      <c r="O109" s="92" t="str">
        <f>VLOOKUP('Incremental Rev Req'!A109,[1]Summary!$B$8:$D$34,3,FALSE)</f>
        <v>y</v>
      </c>
    </row>
    <row r="110" spans="1:21" x14ac:dyDescent="0.35">
      <c r="A110" s="51" t="s">
        <v>235</v>
      </c>
      <c r="B110" s="51" t="s">
        <v>236</v>
      </c>
      <c r="C110" s="51" t="s">
        <v>213</v>
      </c>
      <c r="D110" s="5">
        <f>G110</f>
        <v>5.0949999999999998</v>
      </c>
      <c r="E110" s="82" t="s">
        <v>22</v>
      </c>
      <c r="F110" s="60"/>
      <c r="G110" s="6">
        <v>5.0949999999999998</v>
      </c>
      <c r="H110" s="60">
        <f>G110</f>
        <v>5.0949999999999998</v>
      </c>
      <c r="I110" s="60">
        <f t="shared" ref="I110" si="30">H110</f>
        <v>5.0949999999999998</v>
      </c>
      <c r="J110" s="51" t="s">
        <v>151</v>
      </c>
      <c r="K110" s="11"/>
      <c r="L110" s="11">
        <f>G110-F55</f>
        <v>-5982.1296923217715</v>
      </c>
      <c r="M110" s="11">
        <f>H110-G110</f>
        <v>0</v>
      </c>
      <c r="N110" s="11">
        <f t="shared" ref="N110:N111" si="31">I110-H110</f>
        <v>0</v>
      </c>
      <c r="O110" s="92" t="str">
        <f>VLOOKUP('Incremental Rev Req'!A110,[1]Summary!$B$8:$D$34,3,FALSE)</f>
        <v>y</v>
      </c>
    </row>
    <row r="111" spans="1:21" x14ac:dyDescent="0.35">
      <c r="A111" s="51" t="s">
        <v>235</v>
      </c>
      <c r="B111" s="51" t="s">
        <v>236</v>
      </c>
      <c r="C111" s="51" t="s">
        <v>213</v>
      </c>
      <c r="D111" s="5">
        <v>724401</v>
      </c>
      <c r="E111" s="82" t="s">
        <v>25</v>
      </c>
      <c r="F111" s="60"/>
      <c r="G111" s="6">
        <v>35130</v>
      </c>
      <c r="H111" s="60">
        <v>54304</v>
      </c>
      <c r="I111" s="60">
        <v>54304</v>
      </c>
      <c r="J111" s="51" t="s">
        <v>151</v>
      </c>
      <c r="K111" s="11"/>
      <c r="L111" s="11">
        <f>G111-F54</f>
        <v>22845.002049526287</v>
      </c>
      <c r="M111" s="11">
        <f t="shared" ref="M111" si="32">H111-G111</f>
        <v>19174</v>
      </c>
      <c r="N111" s="11">
        <f t="shared" si="31"/>
        <v>0</v>
      </c>
      <c r="O111" s="92" t="str">
        <f>VLOOKUP('Incremental Rev Req'!A111,[1]Summary!$B$8:$D$34,3,FALSE)</f>
        <v>y</v>
      </c>
    </row>
    <row r="112" spans="1:21" x14ac:dyDescent="0.35">
      <c r="A112" s="51" t="s">
        <v>237</v>
      </c>
      <c r="B112" s="51" t="s">
        <v>238</v>
      </c>
      <c r="C112" s="51" t="s">
        <v>213</v>
      </c>
      <c r="D112" s="13">
        <f>SUM(H112:I112)</f>
        <v>65049</v>
      </c>
      <c r="E112" s="82" t="s">
        <v>25</v>
      </c>
      <c r="F112" s="60"/>
      <c r="G112" s="60"/>
      <c r="H112" s="60">
        <v>50075</v>
      </c>
      <c r="I112" s="60">
        <v>14974</v>
      </c>
      <c r="J112" s="51" t="s">
        <v>154</v>
      </c>
      <c r="K112" s="55">
        <f t="shared" ref="K112:N115" si="33">F112</f>
        <v>0</v>
      </c>
      <c r="L112" s="55">
        <f t="shared" si="33"/>
        <v>0</v>
      </c>
      <c r="M112" s="55">
        <f t="shared" si="33"/>
        <v>50075</v>
      </c>
      <c r="N112" s="55">
        <f t="shared" si="33"/>
        <v>14974</v>
      </c>
      <c r="O112" s="92" t="str">
        <f>VLOOKUP('Incremental Rev Req'!A112,[1]Summary!$B$8:$D$34,3,FALSE)</f>
        <v>y</v>
      </c>
    </row>
    <row r="113" spans="1:27" x14ac:dyDescent="0.35">
      <c r="A113" s="51" t="s">
        <v>239</v>
      </c>
      <c r="B113" s="51" t="s">
        <v>240</v>
      </c>
      <c r="C113" s="51" t="s">
        <v>213</v>
      </c>
      <c r="D113" s="13">
        <v>1788000</v>
      </c>
      <c r="E113" s="57" t="s">
        <v>39</v>
      </c>
      <c r="F113" s="60"/>
      <c r="G113" s="60"/>
      <c r="H113" s="60">
        <v>431000</v>
      </c>
      <c r="I113" s="60">
        <v>444000</v>
      </c>
      <c r="J113" s="51" t="s">
        <v>151</v>
      </c>
      <c r="K113" s="55">
        <f t="shared" si="33"/>
        <v>0</v>
      </c>
      <c r="L113" s="55">
        <f t="shared" si="33"/>
        <v>0</v>
      </c>
      <c r="M113" s="55">
        <f>H113-H$57</f>
        <v>30473.892999999982</v>
      </c>
      <c r="N113" s="55">
        <f>I113-I$57</f>
        <v>43473.892999999982</v>
      </c>
      <c r="O113" s="92" t="str">
        <f>VLOOKUP('Incremental Rev Req'!A113,[1]Summary!$B$8:$D$34,3,FALSE)</f>
        <v>y</v>
      </c>
      <c r="Y113" s="54"/>
      <c r="AA113" s="54"/>
    </row>
    <row r="114" spans="1:27" x14ac:dyDescent="0.35">
      <c r="A114" s="51" t="s">
        <v>241</v>
      </c>
      <c r="B114" s="51" t="s">
        <v>242</v>
      </c>
      <c r="C114" s="51" t="s">
        <v>213</v>
      </c>
      <c r="D114" s="60">
        <v>677200</v>
      </c>
      <c r="E114" s="82" t="s">
        <v>25</v>
      </c>
      <c r="F114" s="60"/>
      <c r="G114" s="60"/>
      <c r="H114" s="60">
        <v>73507</v>
      </c>
      <c r="I114" s="60">
        <v>151915</v>
      </c>
      <c r="J114" s="51" t="s">
        <v>154</v>
      </c>
      <c r="K114" s="55">
        <f t="shared" si="33"/>
        <v>0</v>
      </c>
      <c r="L114" s="55">
        <f t="shared" si="33"/>
        <v>0</v>
      </c>
      <c r="M114" s="55">
        <f t="shared" si="33"/>
        <v>73507</v>
      </c>
      <c r="N114" s="55">
        <f t="shared" si="33"/>
        <v>151915</v>
      </c>
      <c r="O114" s="92" t="str">
        <f>VLOOKUP('Incremental Rev Req'!A114,[1]Summary!$B$8:$D$34,3,FALSE)</f>
        <v>y</v>
      </c>
    </row>
    <row r="115" spans="1:27" x14ac:dyDescent="0.35">
      <c r="A115" s="51" t="s">
        <v>243</v>
      </c>
      <c r="B115" s="109" t="s">
        <v>244</v>
      </c>
      <c r="C115" s="51" t="s">
        <v>213</v>
      </c>
      <c r="D115" s="84">
        <f>SUM(F115:H115)</f>
        <v>1983</v>
      </c>
      <c r="E115" s="57" t="s">
        <v>39</v>
      </c>
      <c r="F115" s="60"/>
      <c r="G115" s="60">
        <f>250+784</f>
        <v>1034</v>
      </c>
      <c r="H115" s="60">
        <v>949</v>
      </c>
      <c r="J115" s="51" t="s">
        <v>154</v>
      </c>
      <c r="K115" s="11">
        <f t="shared" si="33"/>
        <v>0</v>
      </c>
      <c r="L115" s="11">
        <f t="shared" si="33"/>
        <v>1034</v>
      </c>
      <c r="M115" s="11">
        <f t="shared" si="33"/>
        <v>949</v>
      </c>
      <c r="N115" s="11">
        <f t="shared" si="33"/>
        <v>0</v>
      </c>
      <c r="O115" s="92" t="str">
        <f>VLOOKUP('Incremental Rev Req'!A115,[1]Summary!$B$8:$D$34,3,FALSE)</f>
        <v>y</v>
      </c>
      <c r="Y115" s="58"/>
    </row>
    <row r="116" spans="1:27" x14ac:dyDescent="0.35">
      <c r="A116" s="62" t="s">
        <v>85</v>
      </c>
      <c r="C116" s="82"/>
      <c r="D116" s="82"/>
      <c r="E116" s="82"/>
      <c r="F116" s="60"/>
      <c r="G116" s="60"/>
      <c r="H116" s="60"/>
      <c r="I116" s="60"/>
      <c r="J116" s="84"/>
      <c r="K116" s="55"/>
      <c r="L116" s="55"/>
      <c r="M116" s="55"/>
      <c r="N116" s="55"/>
      <c r="O116" s="92"/>
      <c r="P116" s="105"/>
      <c r="R116" s="55"/>
    </row>
    <row r="117" spans="1:27" x14ac:dyDescent="0.35">
      <c r="C117" s="82"/>
      <c r="D117" s="110"/>
      <c r="E117" s="57"/>
      <c r="F117" s="60"/>
      <c r="G117" s="60"/>
      <c r="H117" s="60"/>
      <c r="I117" s="60"/>
      <c r="J117" s="51"/>
      <c r="K117" s="55"/>
      <c r="L117" s="55"/>
      <c r="M117" s="55"/>
      <c r="N117" s="55"/>
      <c r="O117" s="92"/>
      <c r="R117" s="55"/>
    </row>
    <row r="118" spans="1:27" x14ac:dyDescent="0.35">
      <c r="A118" s="62" t="s">
        <v>117</v>
      </c>
      <c r="F118" s="60"/>
      <c r="G118" s="60"/>
      <c r="H118" s="60"/>
      <c r="I118" s="60"/>
      <c r="O118" s="57"/>
      <c r="Q118" s="106"/>
      <c r="R118" s="55"/>
      <c r="S118" s="58"/>
      <c r="T118" s="58"/>
    </row>
    <row r="119" spans="1:27" ht="32.25" customHeight="1" x14ac:dyDescent="0.35">
      <c r="A119" s="51" t="s">
        <v>124</v>
      </c>
      <c r="B119" s="51" t="s">
        <v>245</v>
      </c>
      <c r="C119" s="51" t="s">
        <v>213</v>
      </c>
      <c r="D119" s="111">
        <f>D75-96000</f>
        <v>1316488.8840000001</v>
      </c>
      <c r="E119" s="82" t="s">
        <v>128</v>
      </c>
      <c r="F119" s="6">
        <f>D119</f>
        <v>1316488.8840000001</v>
      </c>
      <c r="G119" s="6">
        <f>F119</f>
        <v>1316488.8840000001</v>
      </c>
      <c r="H119" s="6">
        <f t="shared" ref="H119" si="34">G119</f>
        <v>1316488.8840000001</v>
      </c>
      <c r="I119" s="6"/>
      <c r="J119" s="51" t="s">
        <v>151</v>
      </c>
      <c r="K119" s="11"/>
      <c r="L119" s="11"/>
      <c r="M119" s="11"/>
      <c r="N119" s="11"/>
      <c r="O119" s="92" t="str">
        <f>VLOOKUP('Incremental Rev Req'!A119,[1]Summary!$B$8:$D$34,3,FALSE)</f>
        <v>y</v>
      </c>
      <c r="Q119" s="106"/>
      <c r="R119" s="55"/>
      <c r="S119" s="58"/>
      <c r="T119" s="58"/>
      <c r="U119" s="104"/>
    </row>
    <row r="120" spans="1:27" ht="15" customHeight="1" thickBot="1" x14ac:dyDescent="0.4">
      <c r="A120" s="62" t="s">
        <v>246</v>
      </c>
      <c r="D120" s="96">
        <f>SUM(D87:D119)</f>
        <v>10787041.81043531</v>
      </c>
      <c r="F120" s="96">
        <f>SUM(F87:F119)</f>
        <v>1316488.8840000001</v>
      </c>
      <c r="G120" s="96">
        <f>SUM(G87:G119)</f>
        <v>6343130.81043531</v>
      </c>
      <c r="H120" s="96">
        <f>SUM(H87:H119)</f>
        <v>7679568.2354919277</v>
      </c>
      <c r="I120" s="96">
        <f>SUM(I87:I119)</f>
        <v>5735583.3514919281</v>
      </c>
      <c r="J120" s="51"/>
      <c r="K120" s="96">
        <f>SUM(K87:K119)</f>
        <v>0</v>
      </c>
      <c r="L120" s="96">
        <f>SUM(L87:L119)</f>
        <v>608766.44455905701</v>
      </c>
      <c r="M120" s="96">
        <f>SUM(M87:M119)</f>
        <v>2088999.1494919276</v>
      </c>
      <c r="N120" s="96">
        <f>SUM(N87:N119)</f>
        <v>1442329.1494919276</v>
      </c>
      <c r="O120" s="11"/>
      <c r="Q120" s="106"/>
      <c r="R120" s="55"/>
      <c r="S120" s="58"/>
      <c r="T120" s="58"/>
      <c r="U120" s="104"/>
    </row>
    <row r="121" spans="1:27" ht="15" customHeight="1" thickTop="1" x14ac:dyDescent="0.35">
      <c r="F121" s="84"/>
      <c r="G121" s="84"/>
      <c r="H121" s="84"/>
      <c r="I121" s="84"/>
      <c r="K121" s="53">
        <f>K120+G81</f>
        <v>16200170.680032697</v>
      </c>
      <c r="L121" s="53">
        <f>L120+H81</f>
        <v>15684703.635192981</v>
      </c>
      <c r="M121" s="53">
        <f>M120+I81</f>
        <v>16742688.582035925</v>
      </c>
      <c r="N121" s="53">
        <f>N120+J81</f>
        <v>1442329.1494919276</v>
      </c>
      <c r="O121" s="11"/>
      <c r="R121" s="55"/>
      <c r="S121" s="104"/>
      <c r="T121" s="104"/>
      <c r="U121" s="104"/>
    </row>
    <row r="122" spans="1:27" x14ac:dyDescent="0.35">
      <c r="D122" s="58"/>
      <c r="J122" s="105" t="s">
        <v>140</v>
      </c>
      <c r="K122" s="60">
        <f>K121-G81-K120</f>
        <v>0</v>
      </c>
      <c r="L122" s="60">
        <f>L121-H81-L120</f>
        <v>0</v>
      </c>
      <c r="M122" s="60">
        <f>M121-I81-M120</f>
        <v>0</v>
      </c>
      <c r="N122" s="60">
        <f>N121-J81-N120</f>
        <v>0</v>
      </c>
      <c r="O122" s="11"/>
      <c r="R122" s="55"/>
      <c r="S122" s="104"/>
      <c r="T122" s="104"/>
      <c r="U122" s="104"/>
    </row>
    <row r="123" spans="1:27" x14ac:dyDescent="0.35">
      <c r="F123" s="60"/>
      <c r="G123" s="60"/>
      <c r="H123" s="60"/>
      <c r="I123" s="60"/>
      <c r="J123" s="51"/>
    </row>
    <row r="124" spans="1:27" x14ac:dyDescent="0.35">
      <c r="J124" s="51"/>
    </row>
    <row r="127" spans="1:27" x14ac:dyDescent="0.35">
      <c r="F127" s="62"/>
      <c r="G127" s="62"/>
      <c r="H127" s="62"/>
      <c r="I127" s="62"/>
    </row>
    <row r="128" spans="1:27" x14ac:dyDescent="0.35">
      <c r="F128" s="58"/>
      <c r="G128" s="58"/>
      <c r="H128" s="58"/>
      <c r="I128" s="58"/>
    </row>
    <row r="129" spans="7:9" x14ac:dyDescent="0.35">
      <c r="G129" s="58"/>
      <c r="H129" s="58"/>
      <c r="I129" s="58"/>
    </row>
    <row r="130" spans="7:9" x14ac:dyDescent="0.35">
      <c r="G130" s="58"/>
      <c r="H130" s="58"/>
      <c r="I130" s="58"/>
    </row>
  </sheetData>
  <mergeCells count="1">
    <mergeCell ref="K8:M8"/>
  </mergeCells>
  <dataValidations count="3">
    <dataValidation type="list" allowBlank="1" showInputMessage="1" showErrorMessage="1" sqref="A3" xr:uid="{9F58182B-136B-4885-95D6-C30FA51BA2B0}">
      <formula1>"Reporting Date: Quarter Ended March 31,Reporting Date: Quarter Ended June 30,Reporting Date: Quarter Ended September 30, Reporting Date: Quarter Ended December 31"</formula1>
    </dataValidation>
    <dataValidation type="list" allowBlank="1" showInputMessage="1" showErrorMessage="1" sqref="A2" xr:uid="{721D1AC8-6012-4C2B-B9BC-7B551E007A29}">
      <formula1>"Annual Period 2019,Annual Period 2020,Annual Period 2021,Annual Period 2022,Annual Period 2023"</formula1>
    </dataValidation>
    <dataValidation type="list" allowBlank="1" showInputMessage="1" showErrorMessage="1" sqref="F9:I9 K9:N9 F86:N86 F85:I85" xr:uid="{67382EA4-4570-499F-A2D7-3C37B7ED6F0F}">
      <formula1>"2019,2020,2021,2022,2023,2024,2025"</formula1>
    </dataValidation>
  </dataValidations>
  <pageMargins left="0.7" right="0.7" top="0.75" bottom="0.75" header="0.3" footer="0.3"/>
  <pageSetup paperSize="17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Request_x0020_Set_x0020_Name xmlns="8430d550-c2bd-4ade-ae56-0b82b076c537">DR - 42808 01</Data_x0020_Request_x0020_Set_x0020_Name>
    <Document_x0020_Review_x0020_Status xmlns="d1269d0e-3d21-492c-95ee-c4f1a377396e">Pending Review</Document_x0020_Review_x0020_Status>
    <Response_x0020_Date xmlns="8430d550-c2bd-4ade-ae56-0b82b076c537" xsi:nil="true"/>
    <Manual_x0020_Handling xmlns="d1269d0e-3d21-492c-95ee-c4f1a377396e">
      <Url xsi:nil="true"/>
      <Description xsi:nil="true"/>
    </Manual_x0020_Handling>
    <TaxCatchAll xmlns="e45da448-bf9c-43e8-8676-7e88d583ded9" xsi:nil="true"/>
    <Acronym xmlns="8430d550-c2bd-4ade-ae56-0b82b076c537">Affordability OIR</Acronym>
    <RimsSpid xmlns="8430d550-c2bd-4ade-ae56-0b82b076c537">21532</RimsSpid>
    <Witness xmlns="8430d550-c2bd-4ade-ae56-0b82b076c537">
      <UserInfo>
        <DisplayName/>
        <AccountId xsi:nil="true"/>
        <AccountType/>
      </UserInfo>
    </Witness>
    <MarkedForDeletion xmlns="d1269d0e-3d21-492c-95ee-c4f1a377396e">false</MarkedForDeletion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Matt Sheriff</DisplayName>
        <AccountId>1214</AccountId>
        <AccountType/>
      </UserInfo>
    </Assignee>
    <Question_x0020_Number xmlns="8430d550-c2bd-4ade-ae56-0b82b076c537">01</Question_x0020_Number>
    <Data_x0020_Request_x0020_Set_x0020_Name1 xmlns="8430d550-c2bd-4ade-ae56-0b82b076c537">ED-SCE-Affordability OIR Revenue Requirements-Q3 2022 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William K. Briggs</DisplayName>
        <AccountId>1843</AccountId>
        <AccountType/>
      </UserInfo>
    </Attorney>
    <Received_x0020_Date xmlns="8430d550-c2bd-4ade-ae56-0b82b076c537">2022-08-09T07:00:00+00:00</Received_x0020_Date>
    <Year xmlns="8430d550-c2bd-4ade-ae56-0b82b076c537">2021</Year>
    <HeaderSpid xmlns="8430d550-c2bd-4ade-ae56-0b82b076c537">7127</HeaderSpid>
    <Question xmlns="8430d550-c2bd-4ade-ae56-0b82b076c537">Report required per OP 4 of Decision 22-08-023  August 4, 2022</Question>
    <Classification xmlns="8430d550-c2bd-4ade-ae56-0b82b076c537">Public</Classification>
    <Proceeding_x0020_Number xmlns="8430d550-c2bd-4ade-ae56-0b82b076c537">R.18-07-006</Proceeding_x0020_Number>
    <Party xmlns="8430d550-c2bd-4ade-ae56-0b82b076c537">40;#Energy Division</Party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https://edisonintl.sharepoint.com/teams/rcms365/Lists/Data Request Review Tasks/Review%20Task%20View.aspx?QuestionDocID=161742</Url>
      <Description>Pending Assignee (In Review)</Description>
    </Review_x0020_Status>
    <DR_x0020_360_x0020_Link xmlns="8430d550-c2bd-4ade-ae56-0b82b076c537">
      <Url xsi:nil="true"/>
      <Description xsi:nil="true"/>
    </DR_x0020_360_x0020_Link>
    <DeletedBy xmlns="d1269d0e-3d21-492c-95ee-c4f1a377396e">
      <UserInfo>
        <DisplayName/>
        <AccountId xsi:nil="true"/>
        <AccountType/>
      </UserInfo>
    </DeletedBy>
    <Document_x0020_Type xmlns="8430d550-c2bd-4ade-ae56-0b82b076c537">Attachment</Document_x0020_Type>
    <Party xmlns="d1269d0e-3d21-492c-95ee-c4f1a377396e">40</Party>
    <Agency xmlns="8430d550-c2bd-4ade-ae56-0b82b076c537">CPUC</Agency>
    <lcf76f155ced4ddcb4097134ff3c332f xmlns="d1269d0e-3d21-492c-95ee-c4f1a377396e">
      <Terms xmlns="http://schemas.microsoft.com/office/infopath/2007/PartnerControls"/>
    </lcf76f155ced4ddcb4097134ff3c332f>
    <_dlc_DocId xmlns="8430d550-c2bd-4ade-ae56-0b82b076c537">RCMS365-1419139168-161745</_dlc_DocId>
    <_dlc_DocIdUrl xmlns="8430d550-c2bd-4ade-ae56-0b82b076c537">
      <Url>https://edisonintl.sharepoint.com/teams/rcms365/_layouts/15/DocIdRedir.aspx?ID=RCMS365-1419139168-161745</Url>
      <Description>RCMS365-1419139168-161745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12" ma:contentTypeDescription="" ma:contentTypeScope="" ma:versionID="80054fddee4524cf9feb6ca710708e72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xmlns:ns6="e45da448-bf9c-43e8-8676-7e88d583ded9" targetNamespace="http://schemas.microsoft.com/office/2006/metadata/properties" ma:root="true" ma:fieldsID="f1dac266ef1e521be3b49ec5408857dc" ns1:_="" ns3:_="" ns4:_="" ns5:_="" ns6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  <xsd:element ref="ns3:MarkedForDeletion" minOccurs="0"/>
                <xsd:element ref="ns3:DeletedBy" minOccurs="0"/>
                <xsd:element ref="ns3:MediaLengthInSeconds" minOccurs="0"/>
                <xsd:element ref="ns3:lcf76f155ced4ddcb4097134ff3c332f" minOccurs="0"/>
                <xsd:element ref="ns6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default="2021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  <xsd:element name="MarkedForDeletion" ma:index="62" nillable="true" ma:displayName="Marked For Deletion" ma:default="0" ma:indexed="true" ma:internalName="MarkedForDeletion">
      <xsd:simpleType>
        <xsd:restriction base="dms:Boolean"/>
      </xsd:simpleType>
    </xsd:element>
    <xsd:element name="DeletedBy" ma:index="63" nillable="true" ma:displayName="Submitted By" ma:list="UserInfo" ma:SharePointGroup="0" ma:internalName="Deleted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6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67" nillable="true" ma:displayName="Taxonomy Catch All Column" ma:hidden="true" ma:list="{65a278c3-a9af-4b00-9d48-f36cd2a1cf94}" ma:internalName="TaxCatchAll" ma:showField="CatchAllData" ma:web="8430d550-c2bd-4ade-ae56-0b82b076c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07B876-CE58-4637-A1D7-B77CB04E5CD1}">
  <ds:schemaRefs>
    <ds:schemaRef ds:uri="http://purl.org/dc/elements/1.1/"/>
    <ds:schemaRef ds:uri="http://schemas.microsoft.com/sharepoint/v3/fields"/>
    <ds:schemaRef ds:uri="8430d550-c2bd-4ade-ae56-0b82b076c537"/>
    <ds:schemaRef ds:uri="e45da448-bf9c-43e8-8676-7e88d583ded9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4"/>
    <ds:schemaRef ds:uri="d1269d0e-3d21-492c-95ee-c4f1a377396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99AC99-9C7C-4DDD-AC9F-B07D6506B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481E3B-1F18-49D3-8544-A90EB5BB5E4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35DE7EF-5C0A-4E60-8854-EA9A559928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Authorized Rev Req</vt:lpstr>
      <vt:lpstr>Incremental Rev Req</vt:lpstr>
      <vt:lpstr>'Incremental Rev Req'!Print_Area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Sheriff</dc:creator>
  <cp:lastModifiedBy>Cristina Hurtado</cp:lastModifiedBy>
  <cp:lastPrinted>2022-09-23T20:34:45Z</cp:lastPrinted>
  <dcterms:created xsi:type="dcterms:W3CDTF">2022-09-23T13:52:17Z</dcterms:created>
  <dcterms:modified xsi:type="dcterms:W3CDTF">2022-09-23T20:34:53Z</dcterms:modified>
  <cp:contentStatus>(3) Review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0x0101003FDC8DB2EFA0734493CFBBBD1CB93690005CC82022603A0947A2C5F5F1889FA752</vt:lpwstr>
  </property>
  <property fmtid="{D5CDD505-2E9C-101B-9397-08002B2CF9AE}" pid="3" name="_dlc_DocIdItemGuid">
    <vt:lpwstr>d5db9432-babc-4409-8f85-1762681cbb8e</vt:lpwstr>
  </property>
  <property fmtid="{D5CDD505-2E9C-101B-9397-08002B2CF9AE}" pid="4" name="MediaServiceImageTags">
    <vt:lpwstr/>
  </property>
  <property fmtid="{D5CDD505-2E9C-101B-9397-08002B2CF9AE}" pid="5" name="_docset_NoMedatataSyncRequired">
    <vt:lpwstr>False</vt:lpwstr>
  </property>
</Properties>
</file>